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IỀN\HĐND\CÁC KỲ HỌP\kỳ họp thứ 7\Tài liệu kỳ họp\TL ĐĂNG TRANG TTĐT\Tờ trình 98 về KT-Xh\"/>
    </mc:Choice>
  </mc:AlternateContent>
  <bookViews>
    <workbookView xWindow="0" yWindow="0" windowWidth="16320" windowHeight="5448" tabRatio="652"/>
  </bookViews>
  <sheets>
    <sheet name="HDND 2023" sheetId="129" r:id="rId1"/>
    <sheet name="PL1" sheetId="124" state="hidden" r:id="rId2"/>
    <sheet name="PL2" sheetId="125" state="hidden" r:id="rId3"/>
    <sheet name="PL3" sheetId="126" state="hidden" r:id="rId4"/>
    <sheet name="PL4" sheetId="123" state="hidden" r:id="rId5"/>
    <sheet name="2018. PL04" sheetId="94" state="hidden" r:id="rId6"/>
    <sheet name="KH2019. 1. KT" sheetId="78" state="hidden" r:id="rId7"/>
    <sheet name="KH2019. 2. CN NN DV" sheetId="79" state="hidden" r:id="rId8"/>
    <sheet name="KH2019. 2a.NLTS" sheetId="92" state="hidden" r:id="rId9"/>
    <sheet name="KH2019. 3. XH" sheetId="80" state="hidden" r:id="rId10"/>
    <sheet name="KH2019. 4. MT" sheetId="81" state="hidden" r:id="rId11"/>
    <sheet name="KH2019. 5. PTDN" sheetId="82" state="hidden" r:id="rId12"/>
    <sheet name="2018. QI" sheetId="73" state="hidden" r:id="rId13"/>
    <sheet name="2018. T4" sheetId="75" state="hidden" r:id="rId14"/>
    <sheet name="2018. T5" sheetId="77" state="hidden" r:id="rId15"/>
    <sheet name="2018. 6T" sheetId="74" state="hidden" r:id="rId16"/>
    <sheet name="2018. T7" sheetId="84" state="hidden" r:id="rId17"/>
    <sheet name="2018. T8" sheetId="85" state="hidden" r:id="rId18"/>
    <sheet name="2018. 9T" sheetId="88" state="hidden" r:id="rId19"/>
    <sheet name="2018. T10" sheetId="95" state="hidden" r:id="rId20"/>
  </sheets>
  <definedNames>
    <definedName name="Heä_soá_laép_xaø_H">1.7</definedName>
    <definedName name="_xlnm.Print_Area" localSheetId="0">'HDND 2023'!$A$1:$M$160</definedName>
    <definedName name="_xlnm.Print_Area" localSheetId="4">'PL4'!$A$1:$G$67</definedName>
    <definedName name="_xlnm.Print_Area">#REF!</definedName>
    <definedName name="_xlnm.Print_Titles" localSheetId="15">'2018. 6T'!$5:$7</definedName>
    <definedName name="_xlnm.Print_Titles" localSheetId="18">'2018. 9T'!$5:$7</definedName>
    <definedName name="_xlnm.Print_Titles" localSheetId="5">'2018. PL04'!$5:$8</definedName>
    <definedName name="_xlnm.Print_Titles" localSheetId="12">'2018. QI'!$5:$7</definedName>
    <definedName name="_xlnm.Print_Titles" localSheetId="19">'2018. T10'!$5:$7</definedName>
    <definedName name="_xlnm.Print_Titles" localSheetId="13">'2018. T4'!$5:$7</definedName>
    <definedName name="_xlnm.Print_Titles" localSheetId="14">'2018. T5'!$5:$7</definedName>
    <definedName name="_xlnm.Print_Titles" localSheetId="16">'2018. T7'!$5:$7</definedName>
    <definedName name="_xlnm.Print_Titles" localSheetId="17">'2018. T8'!$5:$7</definedName>
    <definedName name="_xlnm.Print_Titles" localSheetId="0">'HDND 2023'!$5:$7</definedName>
    <definedName name="_xlnm.Print_Titles" localSheetId="7">'KH2019. 2. CN NN DV'!$5:$7</definedName>
    <definedName name="_xlnm.Print_Titles" localSheetId="8">'KH2019. 2a.NLTS'!$5:$7</definedName>
    <definedName name="_xlnm.Print_Titles" localSheetId="9">'KH2019. 3. XH'!$5:$7</definedName>
    <definedName name="_xlnm.Print_Titles" localSheetId="1">'PL1'!$5:$8</definedName>
    <definedName name="_xlnm.Print_Titles" localSheetId="2">'PL2'!$5:$7</definedName>
    <definedName name="_xlnm.Print_Titles" localSheetId="4">'PL4'!$5:$8</definedName>
    <definedName name="_xlnm.Print_Titles">#REF!</definedName>
    <definedName name="VAÄT_LIEÄU">"nhandongia"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4" i="129" l="1"/>
  <c r="K127" i="129" l="1"/>
  <c r="K97" i="129" l="1"/>
  <c r="K99" i="129"/>
  <c r="E97" i="129"/>
  <c r="F97" i="129"/>
  <c r="G97" i="129"/>
  <c r="D97" i="129"/>
  <c r="K84" i="129"/>
  <c r="K85" i="129"/>
  <c r="G83" i="129"/>
  <c r="G82" i="129" s="1"/>
  <c r="F83" i="129"/>
  <c r="F82" i="129" s="1"/>
  <c r="E83" i="129"/>
  <c r="E82" i="129" s="1"/>
  <c r="D83" i="129"/>
  <c r="D82" i="129" s="1"/>
  <c r="K72" i="129"/>
  <c r="K83" i="129" l="1"/>
  <c r="K82" i="129" s="1"/>
  <c r="I83" i="129"/>
  <c r="L83" i="129"/>
  <c r="H83" i="129"/>
  <c r="K29" i="129"/>
  <c r="E38" i="129" l="1"/>
  <c r="K70" i="129" l="1"/>
  <c r="L11" i="129"/>
  <c r="L12" i="129"/>
  <c r="L13" i="129"/>
  <c r="L14" i="129"/>
  <c r="L22" i="129"/>
  <c r="L26" i="129"/>
  <c r="L27" i="129"/>
  <c r="L32" i="129"/>
  <c r="L33" i="129"/>
  <c r="L35" i="129"/>
  <c r="L36" i="129"/>
  <c r="L41" i="129"/>
  <c r="L42" i="129"/>
  <c r="L44" i="129"/>
  <c r="L45" i="129"/>
  <c r="L47" i="129"/>
  <c r="L48" i="129"/>
  <c r="L50" i="129"/>
  <c r="L51" i="129"/>
  <c r="L52" i="129"/>
  <c r="L55" i="129"/>
  <c r="L56" i="129"/>
  <c r="L59" i="129"/>
  <c r="L60" i="129"/>
  <c r="L62" i="129"/>
  <c r="L63" i="129"/>
  <c r="L65" i="129"/>
  <c r="L66" i="129"/>
  <c r="L67" i="129"/>
  <c r="L68" i="129"/>
  <c r="L71" i="129"/>
  <c r="L72" i="129"/>
  <c r="L80" i="129"/>
  <c r="L81" i="129"/>
  <c r="L84" i="129"/>
  <c r="L85" i="129"/>
  <c r="L92" i="129"/>
  <c r="L93" i="129"/>
  <c r="L94" i="129"/>
  <c r="L95" i="129"/>
  <c r="L99" i="129"/>
  <c r="L98" i="129"/>
  <c r="L103" i="129"/>
  <c r="L105" i="129"/>
  <c r="L107" i="129"/>
  <c r="L108" i="129"/>
  <c r="L109" i="129"/>
  <c r="L110" i="129"/>
  <c r="L112" i="129"/>
  <c r="L115" i="129"/>
  <c r="L116" i="129"/>
  <c r="L118" i="129"/>
  <c r="L119" i="129"/>
  <c r="L120" i="129"/>
  <c r="L121" i="129"/>
  <c r="L123" i="129"/>
  <c r="L124" i="129"/>
  <c r="L128" i="129"/>
  <c r="L130" i="129"/>
  <c r="L131" i="129"/>
  <c r="L132" i="129"/>
  <c r="L133" i="129"/>
  <c r="L134" i="129"/>
  <c r="L136" i="129"/>
  <c r="L137" i="129"/>
  <c r="L140" i="129"/>
  <c r="L141" i="129"/>
  <c r="L142" i="129"/>
  <c r="L144" i="129"/>
  <c r="L145" i="129"/>
  <c r="L146" i="129"/>
  <c r="L147" i="129"/>
  <c r="L149" i="129"/>
  <c r="L150" i="129"/>
  <c r="L151" i="129"/>
  <c r="L152" i="129"/>
  <c r="L153" i="129"/>
  <c r="L154" i="129"/>
  <c r="L157" i="129"/>
  <c r="L158" i="129"/>
  <c r="L159" i="129"/>
  <c r="L10" i="129"/>
  <c r="I160" i="129"/>
  <c r="H160" i="129"/>
  <c r="I11" i="129" l="1"/>
  <c r="I12" i="129"/>
  <c r="I13" i="129"/>
  <c r="I14" i="129"/>
  <c r="I26" i="129"/>
  <c r="I27" i="129"/>
  <c r="I28" i="129"/>
  <c r="I32" i="129"/>
  <c r="I33" i="129"/>
  <c r="I35" i="129"/>
  <c r="I36" i="129"/>
  <c r="I41" i="129"/>
  <c r="I42" i="129"/>
  <c r="I44" i="129"/>
  <c r="I45" i="129"/>
  <c r="I47" i="129"/>
  <c r="I48" i="129"/>
  <c r="I50" i="129"/>
  <c r="I51" i="129"/>
  <c r="I52" i="129"/>
  <c r="I55" i="129"/>
  <c r="I56" i="129"/>
  <c r="I59" i="129"/>
  <c r="I62" i="129"/>
  <c r="I63" i="129"/>
  <c r="I65" i="129"/>
  <c r="I67" i="129"/>
  <c r="I68" i="129"/>
  <c r="I71" i="129"/>
  <c r="I72" i="129"/>
  <c r="I80" i="129"/>
  <c r="I81" i="129"/>
  <c r="I84" i="129"/>
  <c r="I85" i="129"/>
  <c r="I92" i="129"/>
  <c r="I93" i="129"/>
  <c r="I94" i="129"/>
  <c r="I95" i="129"/>
  <c r="I99" i="129"/>
  <c r="I98" i="129"/>
  <c r="I103" i="129"/>
  <c r="I105" i="129"/>
  <c r="I107" i="129"/>
  <c r="I108" i="129"/>
  <c r="I109" i="129"/>
  <c r="I110" i="129"/>
  <c r="I112" i="129"/>
  <c r="I115" i="129"/>
  <c r="I116" i="129"/>
  <c r="I118" i="129"/>
  <c r="I119" i="129"/>
  <c r="I120" i="129"/>
  <c r="I121" i="129"/>
  <c r="I123" i="129"/>
  <c r="I124" i="129"/>
  <c r="I128" i="129"/>
  <c r="I130" i="129"/>
  <c r="I131" i="129"/>
  <c r="I132" i="129"/>
  <c r="I133" i="129"/>
  <c r="I134" i="129"/>
  <c r="I136" i="129"/>
  <c r="I137" i="129"/>
  <c r="I140" i="129"/>
  <c r="I141" i="129"/>
  <c r="I142" i="129"/>
  <c r="I144" i="129"/>
  <c r="I145" i="129"/>
  <c r="I146" i="129"/>
  <c r="I147" i="129"/>
  <c r="I149" i="129"/>
  <c r="I150" i="129"/>
  <c r="I151" i="129"/>
  <c r="I152" i="129"/>
  <c r="I153" i="129"/>
  <c r="I154" i="129"/>
  <c r="I157" i="129"/>
  <c r="I158" i="129"/>
  <c r="I159" i="129"/>
  <c r="I10" i="129"/>
  <c r="H11" i="129"/>
  <c r="H12" i="129"/>
  <c r="H13" i="129"/>
  <c r="H14" i="129"/>
  <c r="H22" i="129"/>
  <c r="H26" i="129"/>
  <c r="H27" i="129"/>
  <c r="H28" i="129"/>
  <c r="H32" i="129"/>
  <c r="H33" i="129"/>
  <c r="H35" i="129"/>
  <c r="H36" i="129"/>
  <c r="H41" i="129"/>
  <c r="H42" i="129"/>
  <c r="H44" i="129"/>
  <c r="H45" i="129"/>
  <c r="H47" i="129"/>
  <c r="H48" i="129"/>
  <c r="H50" i="129"/>
  <c r="H52" i="129"/>
  <c r="H55" i="129"/>
  <c r="H56" i="129"/>
  <c r="H59" i="129"/>
  <c r="H60" i="129"/>
  <c r="H62" i="129"/>
  <c r="H63" i="129"/>
  <c r="H65" i="129"/>
  <c r="H66" i="129"/>
  <c r="H67" i="129"/>
  <c r="H68" i="129"/>
  <c r="H71" i="129"/>
  <c r="H72" i="129"/>
  <c r="H80" i="129"/>
  <c r="H81" i="129"/>
  <c r="H84" i="129"/>
  <c r="H85" i="129"/>
  <c r="H92" i="129"/>
  <c r="H93" i="129"/>
  <c r="H94" i="129"/>
  <c r="H95" i="129"/>
  <c r="H99" i="129"/>
  <c r="H98" i="129"/>
  <c r="H103" i="129"/>
  <c r="H105" i="129"/>
  <c r="H107" i="129"/>
  <c r="H108" i="129"/>
  <c r="H109" i="129"/>
  <c r="H110" i="129"/>
  <c r="H112" i="129"/>
  <c r="H115" i="129"/>
  <c r="H116" i="129"/>
  <c r="H118" i="129"/>
  <c r="H119" i="129"/>
  <c r="H120" i="129"/>
  <c r="H121" i="129"/>
  <c r="H123" i="129"/>
  <c r="H124" i="129"/>
  <c r="H128" i="129"/>
  <c r="H130" i="129"/>
  <c r="H131" i="129"/>
  <c r="H132" i="129"/>
  <c r="H133" i="129"/>
  <c r="H134" i="129"/>
  <c r="H136" i="129"/>
  <c r="H137" i="129"/>
  <c r="H140" i="129"/>
  <c r="H141" i="129"/>
  <c r="H142" i="129"/>
  <c r="H144" i="129"/>
  <c r="H145" i="129"/>
  <c r="H146" i="129"/>
  <c r="H147" i="129"/>
  <c r="H149" i="129"/>
  <c r="H150" i="129"/>
  <c r="H151" i="129"/>
  <c r="H152" i="129"/>
  <c r="H153" i="129"/>
  <c r="H154" i="129"/>
  <c r="H157" i="129"/>
  <c r="H158" i="129"/>
  <c r="H159" i="129"/>
  <c r="H10" i="129"/>
  <c r="F143" i="129"/>
  <c r="F139" i="129"/>
  <c r="F127" i="129"/>
  <c r="F126" i="129" s="1"/>
  <c r="F91" i="129"/>
  <c r="F79" i="129"/>
  <c r="F70" i="129"/>
  <c r="F69" i="129"/>
  <c r="F64" i="129"/>
  <c r="F54" i="129"/>
  <c r="F53" i="129"/>
  <c r="F49" i="129"/>
  <c r="F46" i="129"/>
  <c r="F43" i="129"/>
  <c r="F38" i="129"/>
  <c r="F37" i="129"/>
  <c r="F34" i="129"/>
  <c r="F29" i="129"/>
  <c r="F23" i="129" s="1"/>
  <c r="F40" i="129" l="1"/>
  <c r="F39" i="129" s="1"/>
  <c r="F18" i="129"/>
  <c r="F58" i="129"/>
  <c r="F31" i="129"/>
  <c r="F30" i="129" s="1"/>
  <c r="F21" i="129"/>
  <c r="O126" i="129"/>
  <c r="O128" i="129" s="1"/>
  <c r="F57" i="129" l="1"/>
  <c r="F25" i="129"/>
  <c r="F17" i="129"/>
  <c r="F20" i="129"/>
  <c r="F24" i="129"/>
  <c r="F19" i="129" l="1"/>
  <c r="F16" i="129"/>
  <c r="D54" i="129"/>
  <c r="H54" i="129" s="1"/>
  <c r="G143" i="129" l="1"/>
  <c r="E143" i="129"/>
  <c r="D143" i="129"/>
  <c r="H143" i="129" s="1"/>
  <c r="L143" i="129" l="1"/>
  <c r="I143" i="129"/>
  <c r="O81" i="129" l="1"/>
  <c r="K38" i="129"/>
  <c r="E70" i="129" l="1"/>
  <c r="G70" i="129"/>
  <c r="D70" i="129"/>
  <c r="E139" i="129"/>
  <c r="G139" i="129"/>
  <c r="K139" i="129"/>
  <c r="L139" i="129" s="1"/>
  <c r="D139" i="129"/>
  <c r="H139" i="129" s="1"/>
  <c r="I139" i="129" l="1"/>
  <c r="H70" i="129"/>
  <c r="I70" i="129"/>
  <c r="L70" i="129"/>
  <c r="D127" i="129"/>
  <c r="D91" i="129"/>
  <c r="H91" i="129" s="1"/>
  <c r="H82" i="129"/>
  <c r="D79" i="129"/>
  <c r="H79" i="129" s="1"/>
  <c r="D69" i="129"/>
  <c r="H69" i="129" s="1"/>
  <c r="D64" i="129"/>
  <c r="H64" i="129" s="1"/>
  <c r="D53" i="129"/>
  <c r="H53" i="129" s="1"/>
  <c r="D49" i="129"/>
  <c r="H49" i="129" s="1"/>
  <c r="D46" i="129"/>
  <c r="H46" i="129" s="1"/>
  <c r="D43" i="129"/>
  <c r="H43" i="129" s="1"/>
  <c r="D38" i="129"/>
  <c r="H38" i="129" s="1"/>
  <c r="D37" i="129"/>
  <c r="H37" i="129" s="1"/>
  <c r="D34" i="129"/>
  <c r="H34" i="129" s="1"/>
  <c r="D29" i="129"/>
  <c r="D58" i="129" l="1"/>
  <c r="D126" i="129"/>
  <c r="H126" i="129" s="1"/>
  <c r="H127" i="129"/>
  <c r="D23" i="129"/>
  <c r="H23" i="129" s="1"/>
  <c r="H29" i="129"/>
  <c r="D40" i="129"/>
  <c r="D31" i="129"/>
  <c r="H31" i="129" s="1"/>
  <c r="K54" i="129"/>
  <c r="D57" i="129" l="1"/>
  <c r="H57" i="129" s="1"/>
  <c r="H58" i="129"/>
  <c r="D18" i="129"/>
  <c r="D17" i="129" s="1"/>
  <c r="H17" i="129" s="1"/>
  <c r="D21" i="129"/>
  <c r="H21" i="129" s="1"/>
  <c r="H40" i="129"/>
  <c r="D39" i="129"/>
  <c r="H39" i="129" s="1"/>
  <c r="D25" i="129"/>
  <c r="D30" i="129"/>
  <c r="H30" i="129" s="1"/>
  <c r="E79" i="129"/>
  <c r="E58" i="129" s="1"/>
  <c r="E57" i="129" s="1"/>
  <c r="G79" i="129"/>
  <c r="K79" i="129"/>
  <c r="H18" i="129" l="1"/>
  <c r="D16" i="129"/>
  <c r="H16" i="129" s="1"/>
  <c r="I82" i="129"/>
  <c r="L82" i="129"/>
  <c r="L79" i="129"/>
  <c r="K58" i="129"/>
  <c r="K57" i="129" s="1"/>
  <c r="D24" i="129"/>
  <c r="H24" i="129" s="1"/>
  <c r="H25" i="129"/>
  <c r="I79" i="129"/>
  <c r="G58" i="129"/>
  <c r="D20" i="129"/>
  <c r="G57" i="129" l="1"/>
  <c r="I57" i="129" s="1"/>
  <c r="I58" i="129"/>
  <c r="D19" i="129"/>
  <c r="H19" i="129" s="1"/>
  <c r="H20" i="129"/>
  <c r="E54" i="129"/>
  <c r="G29" i="129"/>
  <c r="L29" i="129" l="1"/>
  <c r="I29" i="129"/>
  <c r="E23" i="129"/>
  <c r="E34" i="129"/>
  <c r="E37" i="129"/>
  <c r="E43" i="129"/>
  <c r="E46" i="129"/>
  <c r="E49" i="129"/>
  <c r="E53" i="129"/>
  <c r="E64" i="129"/>
  <c r="E69" i="129"/>
  <c r="E91" i="129"/>
  <c r="E127" i="129"/>
  <c r="E126" i="129" s="1"/>
  <c r="E31" i="129" l="1"/>
  <c r="E30" i="129" s="1"/>
  <c r="E18" i="129"/>
  <c r="E40" i="129"/>
  <c r="E21" i="129" s="1"/>
  <c r="E17" i="129" l="1"/>
  <c r="E16" i="129" s="1"/>
  <c r="E25" i="129"/>
  <c r="E20" i="129" s="1"/>
  <c r="E19" i="129" s="1"/>
  <c r="E22" i="129" s="1"/>
  <c r="I22" i="129" s="1"/>
  <c r="E39" i="129"/>
  <c r="E24" i="129" l="1"/>
  <c r="G127" i="129" l="1"/>
  <c r="G34" i="129"/>
  <c r="I34" i="129" s="1"/>
  <c r="G37" i="129"/>
  <c r="I37" i="129" s="1"/>
  <c r="G38" i="129"/>
  <c r="G43" i="129"/>
  <c r="I43" i="129" s="1"/>
  <c r="G46" i="129"/>
  <c r="I46" i="129" s="1"/>
  <c r="G49" i="129"/>
  <c r="I49" i="129" s="1"/>
  <c r="G53" i="129"/>
  <c r="I53" i="129" s="1"/>
  <c r="G64" i="129"/>
  <c r="I64" i="129" s="1"/>
  <c r="G69" i="129"/>
  <c r="I69" i="129" s="1"/>
  <c r="G91" i="129"/>
  <c r="I91" i="129" s="1"/>
  <c r="G126" i="129" l="1"/>
  <c r="I126" i="129" s="1"/>
  <c r="I127" i="129"/>
  <c r="I38" i="129"/>
  <c r="L38" i="129"/>
  <c r="K126" i="129"/>
  <c r="L126" i="129" s="1"/>
  <c r="L127" i="129"/>
  <c r="G31" i="129"/>
  <c r="G40" i="129"/>
  <c r="I40" i="129" s="1"/>
  <c r="G23" i="129"/>
  <c r="I23" i="129" s="1"/>
  <c r="G25" i="129" l="1"/>
  <c r="I25" i="129" s="1"/>
  <c r="I31" i="129"/>
  <c r="G18" i="129"/>
  <c r="I18" i="129" s="1"/>
  <c r="G39" i="129"/>
  <c r="I39" i="129" s="1"/>
  <c r="G30" i="129"/>
  <c r="I30" i="129" s="1"/>
  <c r="G21" i="129"/>
  <c r="I21" i="129" s="1"/>
  <c r="G24" i="129" l="1"/>
  <c r="I24" i="129" s="1"/>
  <c r="G20" i="129"/>
  <c r="I20" i="129" s="1"/>
  <c r="G19" i="129" l="1"/>
  <c r="I19" i="129" s="1"/>
  <c r="K91" i="129"/>
  <c r="L91" i="129" s="1"/>
  <c r="K69" i="129"/>
  <c r="L69" i="129" s="1"/>
  <c r="K64" i="129"/>
  <c r="L64" i="129" s="1"/>
  <c r="K53" i="129"/>
  <c r="L53" i="129" s="1"/>
  <c r="K49" i="129"/>
  <c r="L49" i="129" s="1"/>
  <c r="K46" i="129"/>
  <c r="L46" i="129" s="1"/>
  <c r="K43" i="129"/>
  <c r="L43" i="129" s="1"/>
  <c r="L37" i="129"/>
  <c r="K34" i="129"/>
  <c r="L34" i="129" s="1"/>
  <c r="K28" i="129"/>
  <c r="L28" i="129" s="1"/>
  <c r="K23" i="129" l="1"/>
  <c r="L23" i="129" s="1"/>
  <c r="K40" i="129"/>
  <c r="K31" i="129"/>
  <c r="L31" i="129" s="1"/>
  <c r="L40" i="129" l="1"/>
  <c r="K39" i="129"/>
  <c r="L39" i="129" s="1"/>
  <c r="K18" i="129"/>
  <c r="L18" i="129" s="1"/>
  <c r="K30" i="129"/>
  <c r="L30" i="129" s="1"/>
  <c r="K25" i="129"/>
  <c r="L25" i="129" s="1"/>
  <c r="K21" i="129"/>
  <c r="L21" i="129" s="1"/>
  <c r="O57" i="129" l="1"/>
  <c r="K24" i="129"/>
  <c r="L24" i="129" s="1"/>
  <c r="K20" i="129"/>
  <c r="L20" i="129" s="1"/>
  <c r="L58" i="129" l="1"/>
  <c r="L57" i="129" s="1"/>
  <c r="K19" i="129"/>
  <c r="L19" i="129" s="1"/>
  <c r="A3" i="125" l="1"/>
  <c r="A3" i="126"/>
  <c r="K25" i="124"/>
  <c r="K26" i="124"/>
  <c r="K27" i="124"/>
  <c r="E25" i="124"/>
  <c r="F25" i="124"/>
  <c r="G25" i="124"/>
  <c r="E26" i="124"/>
  <c r="F26" i="124"/>
  <c r="G26" i="124"/>
  <c r="E27" i="124"/>
  <c r="F27" i="124"/>
  <c r="G27" i="124"/>
  <c r="D27" i="124"/>
  <c r="I57" i="126" l="1"/>
  <c r="H57" i="126"/>
  <c r="G57" i="126"/>
  <c r="L53" i="126"/>
  <c r="I56" i="126"/>
  <c r="H56" i="126"/>
  <c r="G56" i="126"/>
  <c r="F55" i="126"/>
  <c r="F54" i="126" s="1"/>
  <c r="F53" i="126" s="1"/>
  <c r="F45" i="126" s="1"/>
  <c r="G22" i="124" s="1"/>
  <c r="E55" i="126"/>
  <c r="D55" i="126"/>
  <c r="D54" i="126" s="1"/>
  <c r="C55" i="126"/>
  <c r="E54" i="126"/>
  <c r="C54" i="126"/>
  <c r="C48" i="126" s="1"/>
  <c r="K53" i="126"/>
  <c r="J53" i="126"/>
  <c r="I52" i="126"/>
  <c r="H52" i="126"/>
  <c r="I51" i="126"/>
  <c r="H51" i="126"/>
  <c r="I48" i="126"/>
  <c r="H48" i="126"/>
  <c r="K46" i="126"/>
  <c r="I47" i="126"/>
  <c r="H47" i="126"/>
  <c r="C47" i="126"/>
  <c r="L46" i="126"/>
  <c r="J46" i="126"/>
  <c r="K24" i="124" s="1"/>
  <c r="F46" i="126"/>
  <c r="E46" i="126"/>
  <c r="D46" i="126"/>
  <c r="E24" i="124" s="1"/>
  <c r="I44" i="126"/>
  <c r="G44" i="126"/>
  <c r="H44" i="126"/>
  <c r="I43" i="126"/>
  <c r="H43" i="126"/>
  <c r="G43" i="126"/>
  <c r="J42" i="126"/>
  <c r="J12" i="126" s="1"/>
  <c r="F42" i="126"/>
  <c r="E42" i="126"/>
  <c r="D42" i="126"/>
  <c r="D12" i="126" s="1"/>
  <c r="I41" i="126"/>
  <c r="H41" i="126"/>
  <c r="G41" i="126"/>
  <c r="I40" i="126"/>
  <c r="H40" i="126"/>
  <c r="G40" i="126"/>
  <c r="I39" i="126"/>
  <c r="H39" i="126"/>
  <c r="G39" i="126"/>
  <c r="I38" i="126"/>
  <c r="H38" i="126"/>
  <c r="G38" i="126"/>
  <c r="I37" i="126"/>
  <c r="H37" i="126"/>
  <c r="G37" i="126"/>
  <c r="I36" i="126"/>
  <c r="G35" i="126"/>
  <c r="I35" i="126"/>
  <c r="H35" i="126"/>
  <c r="H34" i="126"/>
  <c r="G34" i="126"/>
  <c r="I34" i="126"/>
  <c r="H33" i="126"/>
  <c r="G33" i="126"/>
  <c r="I33" i="126"/>
  <c r="H32" i="126"/>
  <c r="G32" i="126"/>
  <c r="I32" i="126"/>
  <c r="H31" i="126"/>
  <c r="G31" i="126"/>
  <c r="I31" i="126"/>
  <c r="H30" i="126"/>
  <c r="G30" i="126"/>
  <c r="I30" i="126"/>
  <c r="H29" i="126"/>
  <c r="G29" i="126"/>
  <c r="I29" i="126"/>
  <c r="H28" i="126"/>
  <c r="G28" i="126"/>
  <c r="I28" i="126"/>
  <c r="H27" i="126"/>
  <c r="G27" i="126"/>
  <c r="I27" i="126"/>
  <c r="H26" i="126"/>
  <c r="G26" i="126"/>
  <c r="I26" i="126"/>
  <c r="H25" i="126"/>
  <c r="G25" i="126"/>
  <c r="I25" i="126"/>
  <c r="H24" i="126"/>
  <c r="G24" i="126"/>
  <c r="I24" i="126"/>
  <c r="H23" i="126"/>
  <c r="G23" i="126"/>
  <c r="I23" i="126"/>
  <c r="H22" i="126"/>
  <c r="G22" i="126"/>
  <c r="I22" i="126"/>
  <c r="H21" i="126"/>
  <c r="G21" i="126"/>
  <c r="I21" i="126"/>
  <c r="H20" i="126"/>
  <c r="G20" i="126"/>
  <c r="I20" i="126"/>
  <c r="H19" i="126"/>
  <c r="G19" i="126"/>
  <c r="I19" i="126"/>
  <c r="H18" i="126"/>
  <c r="G18" i="126"/>
  <c r="I18" i="126"/>
  <c r="H17" i="126"/>
  <c r="G17" i="126"/>
  <c r="I17" i="126"/>
  <c r="H16" i="126"/>
  <c r="G16" i="126"/>
  <c r="I16" i="126"/>
  <c r="H15" i="126"/>
  <c r="G15" i="126"/>
  <c r="I15" i="126"/>
  <c r="H14" i="126"/>
  <c r="G14" i="126"/>
  <c r="I14" i="126"/>
  <c r="L13" i="126"/>
  <c r="K13" i="126"/>
  <c r="I13" i="126"/>
  <c r="E36" i="126"/>
  <c r="H36" i="126" s="1"/>
  <c r="H13" i="126"/>
  <c r="G13" i="126"/>
  <c r="E12" i="126"/>
  <c r="I11" i="126"/>
  <c r="H11" i="126"/>
  <c r="G11" i="126"/>
  <c r="I10" i="126"/>
  <c r="H10" i="126"/>
  <c r="G10" i="126"/>
  <c r="L8" i="126"/>
  <c r="H9" i="126"/>
  <c r="C9" i="126"/>
  <c r="G9" i="126" s="1"/>
  <c r="K8" i="126"/>
  <c r="I8" i="126"/>
  <c r="H8" i="126"/>
  <c r="G8" i="126"/>
  <c r="F50" i="125"/>
  <c r="G50" i="125" s="1"/>
  <c r="E50" i="125"/>
  <c r="E48" i="125" s="1"/>
  <c r="D50" i="125"/>
  <c r="D48" i="125" s="1"/>
  <c r="L49" i="125"/>
  <c r="L48" i="125" s="1"/>
  <c r="L32" i="125" s="1"/>
  <c r="K49" i="125"/>
  <c r="H49" i="125"/>
  <c r="F49" i="125"/>
  <c r="C49" i="125"/>
  <c r="C48" i="125" s="1"/>
  <c r="K48" i="125"/>
  <c r="K32" i="125" s="1"/>
  <c r="J48" i="125"/>
  <c r="G47" i="125"/>
  <c r="I46" i="125"/>
  <c r="H46" i="125"/>
  <c r="G46" i="125"/>
  <c r="I45" i="125"/>
  <c r="H45" i="125"/>
  <c r="G45" i="125"/>
  <c r="I44" i="125"/>
  <c r="H44" i="125"/>
  <c r="C44" i="125"/>
  <c r="G44" i="125" s="1"/>
  <c r="I43" i="125"/>
  <c r="H43" i="125"/>
  <c r="C43" i="125"/>
  <c r="G43" i="125" s="1"/>
  <c r="I42" i="125"/>
  <c r="H42" i="125"/>
  <c r="G42" i="125"/>
  <c r="I41" i="125"/>
  <c r="H41" i="125"/>
  <c r="G41" i="125"/>
  <c r="I40" i="125"/>
  <c r="H40" i="125"/>
  <c r="C40" i="125"/>
  <c r="G40" i="125" s="1"/>
  <c r="I39" i="125"/>
  <c r="H39" i="125"/>
  <c r="G39" i="125"/>
  <c r="I38" i="125"/>
  <c r="H38" i="125"/>
  <c r="I37" i="125"/>
  <c r="H37" i="125"/>
  <c r="C37" i="125"/>
  <c r="G37" i="125" s="1"/>
  <c r="I36" i="125"/>
  <c r="H36" i="125"/>
  <c r="G36" i="125"/>
  <c r="G35" i="125"/>
  <c r="J34" i="125"/>
  <c r="F34" i="125"/>
  <c r="E34" i="125"/>
  <c r="D34" i="125"/>
  <c r="D33" i="125" s="1"/>
  <c r="C34" i="125"/>
  <c r="J33" i="125"/>
  <c r="I28" i="125"/>
  <c r="H28" i="125"/>
  <c r="G28" i="125"/>
  <c r="I27" i="125"/>
  <c r="H27" i="125"/>
  <c r="G27" i="125"/>
  <c r="I26" i="125"/>
  <c r="H26" i="125"/>
  <c r="G26" i="125"/>
  <c r="I25" i="125"/>
  <c r="H25" i="125"/>
  <c r="G25" i="125"/>
  <c r="I24" i="125"/>
  <c r="H24" i="125"/>
  <c r="G24" i="125"/>
  <c r="I23" i="125"/>
  <c r="H23" i="125"/>
  <c r="G23" i="125"/>
  <c r="I22" i="125"/>
  <c r="H22" i="125"/>
  <c r="G22" i="125"/>
  <c r="I21" i="125"/>
  <c r="H21" i="125"/>
  <c r="G21" i="125"/>
  <c r="I20" i="125"/>
  <c r="H20" i="125"/>
  <c r="G20" i="125"/>
  <c r="I19" i="125"/>
  <c r="H19" i="125"/>
  <c r="I18" i="125"/>
  <c r="H18" i="125"/>
  <c r="G18" i="125"/>
  <c r="I17" i="125"/>
  <c r="H17" i="125"/>
  <c r="G17" i="125"/>
  <c r="C16" i="125"/>
  <c r="G16" i="125" s="1"/>
  <c r="J15" i="125"/>
  <c r="J14" i="125" s="1"/>
  <c r="J13" i="125" s="1"/>
  <c r="F15" i="125"/>
  <c r="F14" i="125" s="1"/>
  <c r="E15" i="125"/>
  <c r="D15" i="125"/>
  <c r="D14" i="125" s="1"/>
  <c r="D13" i="125" s="1"/>
  <c r="C15" i="125"/>
  <c r="C14" i="125" s="1"/>
  <c r="C13" i="125" s="1"/>
  <c r="I12" i="125"/>
  <c r="H12" i="125"/>
  <c r="G12" i="125"/>
  <c r="I11" i="125"/>
  <c r="H11" i="125"/>
  <c r="G11" i="125"/>
  <c r="I10" i="125"/>
  <c r="C10" i="125"/>
  <c r="G10" i="125" s="1"/>
  <c r="L9" i="125"/>
  <c r="K9" i="125"/>
  <c r="I9" i="125"/>
  <c r="H9" i="125"/>
  <c r="G9" i="125"/>
  <c r="C53" i="126" l="1"/>
  <c r="G34" i="125"/>
  <c r="J45" i="126"/>
  <c r="K22" i="124" s="1"/>
  <c r="I46" i="126"/>
  <c r="J9" i="125"/>
  <c r="J32" i="125"/>
  <c r="K20" i="124" s="1"/>
  <c r="H48" i="125"/>
  <c r="I42" i="126"/>
  <c r="K45" i="126"/>
  <c r="K43" i="126" s="1"/>
  <c r="K42" i="126" s="1"/>
  <c r="K12" i="126" s="1"/>
  <c r="H15" i="125"/>
  <c r="D32" i="125"/>
  <c r="E20" i="124" s="1"/>
  <c r="F48" i="125"/>
  <c r="I48" i="125" s="1"/>
  <c r="H50" i="125"/>
  <c r="I14" i="125"/>
  <c r="F13" i="125"/>
  <c r="I13" i="125" s="1"/>
  <c r="E14" i="125"/>
  <c r="H14" i="125" s="1"/>
  <c r="I15" i="125"/>
  <c r="G49" i="125"/>
  <c r="G53" i="126"/>
  <c r="H12" i="126"/>
  <c r="H46" i="126"/>
  <c r="F24" i="124"/>
  <c r="G14" i="125"/>
  <c r="G15" i="125"/>
  <c r="C33" i="125"/>
  <c r="C32" i="125" s="1"/>
  <c r="D20" i="124" s="1"/>
  <c r="F33" i="125"/>
  <c r="H34" i="125"/>
  <c r="I34" i="125"/>
  <c r="G48" i="125"/>
  <c r="F12" i="126"/>
  <c r="I12" i="126" s="1"/>
  <c r="H42" i="126"/>
  <c r="G24" i="124"/>
  <c r="C46" i="126"/>
  <c r="D25" i="124"/>
  <c r="G48" i="126"/>
  <c r="D26" i="124"/>
  <c r="H54" i="126"/>
  <c r="G55" i="126"/>
  <c r="G54" i="126"/>
  <c r="I55" i="126"/>
  <c r="L45" i="126"/>
  <c r="L43" i="126" s="1"/>
  <c r="L42" i="126" s="1"/>
  <c r="L12" i="126" s="1"/>
  <c r="I54" i="126"/>
  <c r="D53" i="126"/>
  <c r="D45" i="126" s="1"/>
  <c r="G36" i="126"/>
  <c r="G47" i="126"/>
  <c r="I9" i="126"/>
  <c r="C42" i="126"/>
  <c r="G42" i="126" s="1"/>
  <c r="E53" i="126"/>
  <c r="H55" i="126"/>
  <c r="E13" i="125"/>
  <c r="H13" i="125" s="1"/>
  <c r="H10" i="125"/>
  <c r="E33" i="125"/>
  <c r="I49" i="125"/>
  <c r="I50" i="125"/>
  <c r="F32" i="125" l="1"/>
  <c r="G20" i="124" s="1"/>
  <c r="G33" i="125"/>
  <c r="G13" i="125"/>
  <c r="H53" i="126"/>
  <c r="C45" i="126"/>
  <c r="D24" i="124"/>
  <c r="G46" i="126"/>
  <c r="I33" i="125"/>
  <c r="C12" i="126"/>
  <c r="G12" i="126" s="1"/>
  <c r="I45" i="126"/>
  <c r="E22" i="124"/>
  <c r="E45" i="126"/>
  <c r="I53" i="126"/>
  <c r="G32" i="125"/>
  <c r="I32" i="125"/>
  <c r="H33" i="125"/>
  <c r="E32" i="125"/>
  <c r="H45" i="126" l="1"/>
  <c r="F22" i="124"/>
  <c r="I22" i="124" s="1"/>
  <c r="H32" i="125"/>
  <c r="F20" i="124"/>
  <c r="I20" i="124" s="1"/>
  <c r="G45" i="126"/>
  <c r="D22" i="124"/>
  <c r="A3" i="123"/>
  <c r="K66" i="124"/>
  <c r="K65" i="124"/>
  <c r="K64" i="124"/>
  <c r="K60" i="124"/>
  <c r="K59" i="124"/>
  <c r="K58" i="124"/>
  <c r="K50" i="124"/>
  <c r="K49" i="124"/>
  <c r="K48" i="124"/>
  <c r="K47" i="124"/>
  <c r="K43" i="124"/>
  <c r="K40" i="124"/>
  <c r="K36" i="124"/>
  <c r="G62" i="124"/>
  <c r="F62" i="124"/>
  <c r="E62" i="124"/>
  <c r="D62" i="124"/>
  <c r="D66" i="124"/>
  <c r="D65" i="124"/>
  <c r="D64" i="124"/>
  <c r="D60" i="124"/>
  <c r="D59" i="124"/>
  <c r="D58" i="124"/>
  <c r="D50" i="124"/>
  <c r="D49" i="124"/>
  <c r="D48" i="124"/>
  <c r="D47" i="124"/>
  <c r="D43" i="124"/>
  <c r="D40" i="124"/>
  <c r="D36" i="124"/>
  <c r="E66" i="124"/>
  <c r="E65" i="124"/>
  <c r="E64" i="124"/>
  <c r="E60" i="124"/>
  <c r="E59" i="124"/>
  <c r="E58" i="124"/>
  <c r="E50" i="124"/>
  <c r="E49" i="124"/>
  <c r="E48" i="124"/>
  <c r="E47" i="124"/>
  <c r="E43" i="124"/>
  <c r="E36" i="124"/>
  <c r="F66" i="124"/>
  <c r="F64" i="124"/>
  <c r="F61" i="124"/>
  <c r="F60" i="124"/>
  <c r="I60" i="124" s="1"/>
  <c r="F59" i="124"/>
  <c r="I59" i="124" s="1"/>
  <c r="F58" i="124"/>
  <c r="I58" i="124" s="1"/>
  <c r="F50" i="124"/>
  <c r="F49" i="124"/>
  <c r="I49" i="124" s="1"/>
  <c r="F48" i="124"/>
  <c r="I48" i="124" s="1"/>
  <c r="F47" i="124"/>
  <c r="F43" i="124"/>
  <c r="F42" i="124"/>
  <c r="F40" i="124"/>
  <c r="F36" i="124"/>
  <c r="G65" i="124"/>
  <c r="G64" i="124"/>
  <c r="G60" i="124"/>
  <c r="G58" i="124"/>
  <c r="J58" i="124" s="1"/>
  <c r="G50" i="124"/>
  <c r="G49" i="124"/>
  <c r="J49" i="124" s="1"/>
  <c r="G48" i="124"/>
  <c r="J48" i="124" s="1"/>
  <c r="G47" i="124"/>
  <c r="G43" i="124"/>
  <c r="G40" i="124"/>
  <c r="G36" i="124"/>
  <c r="D68" i="124"/>
  <c r="E68" i="124"/>
  <c r="F68" i="124"/>
  <c r="K68" i="124"/>
  <c r="J71" i="124"/>
  <c r="I71" i="124"/>
  <c r="H71" i="124"/>
  <c r="J70" i="124"/>
  <c r="I70" i="124"/>
  <c r="H70" i="124"/>
  <c r="G68" i="124"/>
  <c r="J67" i="124"/>
  <c r="I67" i="124"/>
  <c r="H67" i="124"/>
  <c r="J63" i="124"/>
  <c r="I63" i="124"/>
  <c r="H63" i="124"/>
  <c r="J57" i="124"/>
  <c r="I57" i="124"/>
  <c r="H57" i="124"/>
  <c r="J46" i="124"/>
  <c r="I46" i="124"/>
  <c r="H46" i="124"/>
  <c r="J45" i="124"/>
  <c r="I45" i="124"/>
  <c r="H45" i="124"/>
  <c r="J44" i="124"/>
  <c r="I44" i="124"/>
  <c r="H44" i="124"/>
  <c r="J41" i="124"/>
  <c r="I41" i="124"/>
  <c r="H41" i="124"/>
  <c r="J38" i="124"/>
  <c r="I38" i="124"/>
  <c r="H38" i="124"/>
  <c r="J37" i="124"/>
  <c r="I37" i="124"/>
  <c r="H37" i="124"/>
  <c r="J33" i="124"/>
  <c r="I33" i="124"/>
  <c r="H33" i="124"/>
  <c r="J32" i="124"/>
  <c r="I32" i="124"/>
  <c r="H32" i="124"/>
  <c r="J30" i="124"/>
  <c r="I30" i="124"/>
  <c r="H29" i="124"/>
  <c r="J28" i="124"/>
  <c r="I28" i="124"/>
  <c r="H28" i="124"/>
  <c r="J27" i="124"/>
  <c r="I27" i="124"/>
  <c r="H27" i="124"/>
  <c r="J26" i="124"/>
  <c r="I26" i="124"/>
  <c r="H26" i="124"/>
  <c r="J25" i="124"/>
  <c r="I25" i="124"/>
  <c r="H25" i="124"/>
  <c r="J24" i="124"/>
  <c r="I24" i="124"/>
  <c r="H24" i="124"/>
  <c r="J23" i="124"/>
  <c r="I23" i="124"/>
  <c r="H23" i="124"/>
  <c r="J22" i="124"/>
  <c r="H22" i="124"/>
  <c r="J21" i="124"/>
  <c r="I21" i="124"/>
  <c r="H21" i="124"/>
  <c r="J20" i="124"/>
  <c r="H20" i="124"/>
  <c r="J19" i="124"/>
  <c r="I19" i="124"/>
  <c r="H19" i="124"/>
  <c r="J18" i="124"/>
  <c r="I18" i="124"/>
  <c r="H18" i="124"/>
  <c r="J17" i="124"/>
  <c r="I17" i="124"/>
  <c r="H17" i="124"/>
  <c r="J16" i="124"/>
  <c r="I16" i="124"/>
  <c r="H16" i="124"/>
  <c r="J15" i="124"/>
  <c r="I15" i="124"/>
  <c r="H15" i="124"/>
  <c r="J14" i="124"/>
  <c r="I14" i="124"/>
  <c r="H14" i="124"/>
  <c r="J13" i="124"/>
  <c r="I13" i="124"/>
  <c r="H13" i="124"/>
  <c r="J12" i="124"/>
  <c r="I12" i="124"/>
  <c r="H12" i="124"/>
  <c r="J11" i="124"/>
  <c r="I11" i="124"/>
  <c r="H11" i="124"/>
  <c r="J10" i="124"/>
  <c r="I10" i="124"/>
  <c r="H10" i="124"/>
  <c r="E66" i="123"/>
  <c r="E65" i="123"/>
  <c r="E60" i="123"/>
  <c r="E58" i="123"/>
  <c r="E57" i="123"/>
  <c r="E56" i="123"/>
  <c r="E53" i="123"/>
  <c r="E52" i="123"/>
  <c r="E51" i="123"/>
  <c r="E48" i="123"/>
  <c r="E47" i="123"/>
  <c r="E46" i="123"/>
  <c r="E38" i="123"/>
  <c r="E37" i="123"/>
  <c r="E36" i="123"/>
  <c r="E34" i="123"/>
  <c r="E33" i="123"/>
  <c r="E28" i="123"/>
  <c r="E27" i="123"/>
  <c r="E25" i="123"/>
  <c r="E24" i="123"/>
  <c r="E19" i="123"/>
  <c r="E18" i="123"/>
  <c r="D66" i="123"/>
  <c r="D65" i="123"/>
  <c r="D60" i="123"/>
  <c r="D58" i="123"/>
  <c r="D57" i="123"/>
  <c r="D56" i="123"/>
  <c r="D53" i="123"/>
  <c r="D52" i="123"/>
  <c r="D51" i="123"/>
  <c r="D48" i="123"/>
  <c r="D47" i="123"/>
  <c r="D46" i="123"/>
  <c r="D38" i="123"/>
  <c r="D37" i="123"/>
  <c r="D36" i="123"/>
  <c r="D34" i="123"/>
  <c r="D33" i="123"/>
  <c r="D28" i="123"/>
  <c r="D27" i="123"/>
  <c r="D25" i="123"/>
  <c r="D24" i="123"/>
  <c r="D19" i="123"/>
  <c r="D18" i="123"/>
  <c r="G18" i="123"/>
  <c r="G19" i="123"/>
  <c r="G24" i="123"/>
  <c r="G25" i="123"/>
  <c r="G27" i="123"/>
  <c r="G28" i="123"/>
  <c r="G33" i="123"/>
  <c r="G34" i="123"/>
  <c r="G36" i="123"/>
  <c r="G37" i="123"/>
  <c r="G38" i="123"/>
  <c r="G46" i="123"/>
  <c r="G47" i="123"/>
  <c r="G48" i="123"/>
  <c r="G51" i="123"/>
  <c r="G52" i="123"/>
  <c r="G53" i="123"/>
  <c r="G56" i="123"/>
  <c r="G57" i="123"/>
  <c r="G58" i="123"/>
  <c r="G60" i="123"/>
  <c r="G65" i="123"/>
  <c r="G66" i="123"/>
  <c r="F66" i="123"/>
  <c r="F65" i="123"/>
  <c r="F60" i="123"/>
  <c r="F58" i="123"/>
  <c r="F57" i="123"/>
  <c r="F56" i="123"/>
  <c r="F53" i="123"/>
  <c r="F52" i="123"/>
  <c r="F51" i="123"/>
  <c r="F48" i="123"/>
  <c r="F47" i="123"/>
  <c r="F46" i="123"/>
  <c r="F38" i="123"/>
  <c r="F37" i="123"/>
  <c r="F36" i="123"/>
  <c r="F34" i="123"/>
  <c r="F33" i="123"/>
  <c r="F28" i="123"/>
  <c r="F27" i="123"/>
  <c r="F25" i="123"/>
  <c r="F24" i="123"/>
  <c r="F19" i="123"/>
  <c r="F18" i="123"/>
  <c r="I62" i="124" l="1"/>
  <c r="H50" i="124"/>
  <c r="E26" i="123"/>
  <c r="E64" i="123"/>
  <c r="I68" i="124"/>
  <c r="H62" i="124"/>
  <c r="G29" i="123"/>
  <c r="I36" i="124"/>
  <c r="E21" i="123"/>
  <c r="J65" i="124"/>
  <c r="F26" i="123"/>
  <c r="D29" i="123"/>
  <c r="I43" i="124"/>
  <c r="H65" i="124"/>
  <c r="H36" i="124"/>
  <c r="H47" i="124"/>
  <c r="H64" i="124"/>
  <c r="D20" i="123"/>
  <c r="G20" i="123"/>
  <c r="D26" i="123"/>
  <c r="G64" i="123"/>
  <c r="D21" i="123"/>
  <c r="D15" i="123" s="1"/>
  <c r="J62" i="124"/>
  <c r="F29" i="123"/>
  <c r="F64" i="123"/>
  <c r="G21" i="123"/>
  <c r="G15" i="123" s="1"/>
  <c r="E15" i="123"/>
  <c r="E29" i="123"/>
  <c r="H68" i="124"/>
  <c r="F20" i="123"/>
  <c r="F21" i="123"/>
  <c r="F15" i="123" s="1"/>
  <c r="D64" i="123"/>
  <c r="J68" i="124"/>
  <c r="J47" i="124"/>
  <c r="I47" i="124"/>
  <c r="I50" i="124"/>
  <c r="J64" i="124"/>
  <c r="J43" i="124"/>
  <c r="J50" i="124"/>
  <c r="H49" i="124"/>
  <c r="J60" i="124"/>
  <c r="J36" i="124"/>
  <c r="H48" i="124"/>
  <c r="H40" i="124"/>
  <c r="J31" i="124"/>
  <c r="H31" i="124"/>
  <c r="H43" i="124"/>
  <c r="H58" i="124"/>
  <c r="H30" i="124"/>
  <c r="I29" i="124"/>
  <c r="I31" i="124"/>
  <c r="I64" i="124"/>
  <c r="I66" i="124"/>
  <c r="J29" i="124"/>
  <c r="H60" i="124"/>
  <c r="E20" i="123"/>
  <c r="G26" i="123"/>
  <c r="D23" i="123" l="1"/>
  <c r="G23" i="123"/>
  <c r="G22" i="123" s="1"/>
  <c r="E23" i="123"/>
  <c r="E22" i="123" s="1"/>
  <c r="F23" i="123"/>
  <c r="F22" i="123" s="1"/>
  <c r="D22" i="123"/>
  <c r="D17" i="123"/>
  <c r="D16" i="123" s="1"/>
  <c r="F17" i="123" l="1"/>
  <c r="F16" i="123" s="1"/>
  <c r="E17" i="123"/>
  <c r="E16" i="123" s="1"/>
  <c r="G17" i="123"/>
  <c r="G16" i="123" s="1"/>
  <c r="F65" i="124" l="1"/>
  <c r="I65" i="124" s="1"/>
  <c r="F53" i="124" l="1"/>
  <c r="F54" i="124"/>
  <c r="F55" i="124"/>
  <c r="F56" i="124"/>
  <c r="F52" i="124" l="1"/>
  <c r="E39" i="124"/>
  <c r="F39" i="124" l="1"/>
  <c r="I39" i="124" s="1"/>
  <c r="E40" i="124" l="1"/>
  <c r="D39" i="124"/>
  <c r="E54" i="123"/>
  <c r="E49" i="123"/>
  <c r="E30" i="123"/>
  <c r="E14" i="123" s="1"/>
  <c r="E40" i="123"/>
  <c r="E39" i="123"/>
  <c r="E35" i="123"/>
  <c r="K39" i="124" l="1"/>
  <c r="G39" i="124"/>
  <c r="J39" i="124" s="1"/>
  <c r="I40" i="124"/>
  <c r="J40" i="124"/>
  <c r="E43" i="123"/>
  <c r="E10" i="123" s="1"/>
  <c r="E32" i="123"/>
  <c r="E42" i="123"/>
  <c r="H39" i="124" l="1"/>
  <c r="E31" i="123"/>
  <c r="E12" i="123"/>
  <c r="E41" i="123"/>
  <c r="E11" i="123" l="1"/>
  <c r="F34" i="124"/>
  <c r="F35" i="124" l="1"/>
  <c r="D69" i="124" l="1"/>
  <c r="F69" i="124" l="1"/>
  <c r="E69" i="124"/>
  <c r="I69" i="124" l="1"/>
  <c r="G69" i="124" l="1"/>
  <c r="J69" i="124" s="1"/>
  <c r="H69" i="124" l="1"/>
  <c r="G43" i="123" l="1"/>
  <c r="F43" i="123"/>
  <c r="D61" i="124" l="1"/>
  <c r="G66" i="124" l="1"/>
  <c r="H66" i="124" l="1"/>
  <c r="J66" i="124"/>
  <c r="G59" i="124"/>
  <c r="J59" i="124" l="1"/>
  <c r="H59" i="124"/>
  <c r="K55" i="124" l="1"/>
  <c r="K53" i="124"/>
  <c r="K54" i="124"/>
  <c r="K56" i="124"/>
  <c r="G54" i="124"/>
  <c r="G53" i="124"/>
  <c r="G56" i="124"/>
  <c r="G55" i="124"/>
  <c r="G30" i="123" l="1"/>
  <c r="G14" i="123" s="1"/>
  <c r="G39" i="123"/>
  <c r="G49" i="123"/>
  <c r="K42" i="124"/>
  <c r="G35" i="123"/>
  <c r="G40" i="123"/>
  <c r="G54" i="123"/>
  <c r="F30" i="123"/>
  <c r="F14" i="123" s="1"/>
  <c r="F39" i="123"/>
  <c r="G42" i="124"/>
  <c r="F40" i="123"/>
  <c r="F54" i="123"/>
  <c r="F35" i="123"/>
  <c r="F49" i="123"/>
  <c r="G10" i="123" l="1"/>
  <c r="G42" i="123"/>
  <c r="G32" i="123"/>
  <c r="F10" i="123"/>
  <c r="F42" i="123"/>
  <c r="G52" i="124"/>
  <c r="F32" i="123"/>
  <c r="G41" i="123" l="1"/>
  <c r="K69" i="124"/>
  <c r="F31" i="123"/>
  <c r="F41" i="123"/>
  <c r="G31" i="123"/>
  <c r="G11" i="123" l="1"/>
  <c r="G12" i="123"/>
  <c r="K34" i="124"/>
  <c r="F12" i="123"/>
  <c r="K35" i="124" l="1"/>
  <c r="G34" i="124"/>
  <c r="F11" i="123"/>
  <c r="G35" i="124"/>
  <c r="G61" i="124" l="1"/>
  <c r="E61" i="124"/>
  <c r="I61" i="124" s="1"/>
  <c r="G134" i="95"/>
  <c r="G135" i="95" s="1"/>
  <c r="K61" i="124" l="1"/>
  <c r="H61" i="124"/>
  <c r="J61" i="124"/>
  <c r="G136" i="95"/>
  <c r="H199" i="95"/>
  <c r="H198" i="95"/>
  <c r="H197" i="95"/>
  <c r="D197" i="95"/>
  <c r="G196" i="95"/>
  <c r="F196" i="95"/>
  <c r="E196" i="95"/>
  <c r="H195" i="95"/>
  <c r="G194" i="95"/>
  <c r="E194" i="95"/>
  <c r="H193" i="95"/>
  <c r="F192" i="95"/>
  <c r="H192" i="95" s="1"/>
  <c r="F191" i="95"/>
  <c r="H191" i="95" s="1"/>
  <c r="H190" i="95"/>
  <c r="H189" i="95"/>
  <c r="H188" i="95"/>
  <c r="H187" i="95"/>
  <c r="H186" i="95"/>
  <c r="G185" i="95"/>
  <c r="F185" i="95"/>
  <c r="E185" i="95"/>
  <c r="D185" i="95"/>
  <c r="H184" i="95"/>
  <c r="H183" i="95"/>
  <c r="H182" i="95"/>
  <c r="H181" i="95"/>
  <c r="H180" i="95"/>
  <c r="H179" i="95"/>
  <c r="H178" i="95"/>
  <c r="H177" i="95"/>
  <c r="H176" i="95"/>
  <c r="E175" i="95"/>
  <c r="D175" i="95"/>
  <c r="E174" i="95"/>
  <c r="D174" i="95"/>
  <c r="E173" i="95"/>
  <c r="D173" i="95"/>
  <c r="E172" i="95"/>
  <c r="D172" i="95"/>
  <c r="E171" i="95"/>
  <c r="D171" i="95"/>
  <c r="H170" i="95"/>
  <c r="H168" i="95"/>
  <c r="H167" i="95"/>
  <c r="H166" i="95"/>
  <c r="H165" i="95"/>
  <c r="H164" i="95"/>
  <c r="H163" i="95"/>
  <c r="G162" i="95"/>
  <c r="F162" i="95"/>
  <c r="E162" i="95"/>
  <c r="D162" i="95"/>
  <c r="F161" i="95"/>
  <c r="G161" i="95" s="1"/>
  <c r="F160" i="95"/>
  <c r="F174" i="95" s="1"/>
  <c r="F159" i="95"/>
  <c r="F173" i="95" s="1"/>
  <c r="F158" i="95"/>
  <c r="G158" i="95" s="1"/>
  <c r="F157" i="95"/>
  <c r="F171" i="95" s="1"/>
  <c r="H156" i="95"/>
  <c r="E155" i="95"/>
  <c r="D155" i="95"/>
  <c r="H154" i="95"/>
  <c r="H153" i="95"/>
  <c r="H152" i="95"/>
  <c r="H151" i="95"/>
  <c r="H150" i="95"/>
  <c r="H149" i="95"/>
  <c r="G148" i="95"/>
  <c r="G147" i="95" s="1"/>
  <c r="F148" i="95"/>
  <c r="F147" i="95" s="1"/>
  <c r="E147" i="95"/>
  <c r="D147" i="95"/>
  <c r="H146" i="95"/>
  <c r="F145" i="95"/>
  <c r="H145" i="95" s="1"/>
  <c r="H144" i="95"/>
  <c r="E144" i="95"/>
  <c r="H143" i="95"/>
  <c r="H142" i="95"/>
  <c r="H141" i="95"/>
  <c r="D141" i="95"/>
  <c r="H140" i="95"/>
  <c r="H139" i="95"/>
  <c r="H138" i="95"/>
  <c r="H137" i="95"/>
  <c r="D136" i="95"/>
  <c r="F134" i="95"/>
  <c r="F136" i="95" s="1"/>
  <c r="E134" i="95"/>
  <c r="E136" i="95" s="1"/>
  <c r="G132" i="95"/>
  <c r="F132" i="95"/>
  <c r="F133" i="95" s="1"/>
  <c r="E132" i="95"/>
  <c r="H131" i="95"/>
  <c r="H130" i="95"/>
  <c r="H129" i="95"/>
  <c r="H128" i="95"/>
  <c r="H127" i="95"/>
  <c r="H126" i="95"/>
  <c r="H125" i="95"/>
  <c r="H124" i="95"/>
  <c r="H123" i="95"/>
  <c r="H122" i="95"/>
  <c r="H121" i="95"/>
  <c r="H120" i="95"/>
  <c r="H119" i="95"/>
  <c r="H117" i="95"/>
  <c r="E116" i="95"/>
  <c r="G116" i="95" s="1"/>
  <c r="G115" i="95"/>
  <c r="F115" i="95"/>
  <c r="E115" i="95"/>
  <c r="H114" i="95"/>
  <c r="H113" i="95"/>
  <c r="H112" i="95"/>
  <c r="H111" i="95"/>
  <c r="H110" i="95"/>
  <c r="H109" i="95"/>
  <c r="G108" i="95"/>
  <c r="F108" i="95"/>
  <c r="E108" i="95"/>
  <c r="D108" i="95"/>
  <c r="H107" i="95"/>
  <c r="H106" i="95"/>
  <c r="H105" i="95"/>
  <c r="H104" i="95"/>
  <c r="H103" i="95"/>
  <c r="H102" i="95"/>
  <c r="G101" i="95"/>
  <c r="F101" i="95"/>
  <c r="E101" i="95"/>
  <c r="D101" i="95"/>
  <c r="H100" i="95"/>
  <c r="H99" i="95"/>
  <c r="H98" i="95"/>
  <c r="G97" i="95"/>
  <c r="H97" i="95" s="1"/>
  <c r="G96" i="95"/>
  <c r="H96" i="95" s="1"/>
  <c r="H95" i="95"/>
  <c r="F94" i="95"/>
  <c r="E94" i="95"/>
  <c r="D94" i="95"/>
  <c r="H93" i="95"/>
  <c r="H92" i="95"/>
  <c r="H91" i="95"/>
  <c r="H90" i="95"/>
  <c r="H89" i="95"/>
  <c r="H88" i="95"/>
  <c r="G87" i="95"/>
  <c r="H87" i="95" s="1"/>
  <c r="H86" i="95"/>
  <c r="H85" i="95"/>
  <c r="H84" i="95"/>
  <c r="H83" i="95"/>
  <c r="G82" i="95"/>
  <c r="H82" i="95" s="1"/>
  <c r="G80" i="95"/>
  <c r="F80" i="95"/>
  <c r="E80" i="95"/>
  <c r="D80" i="95"/>
  <c r="H79" i="95"/>
  <c r="H78" i="95"/>
  <c r="H77" i="95"/>
  <c r="H76" i="95"/>
  <c r="E75" i="95"/>
  <c r="G75" i="95" s="1"/>
  <c r="G74" i="95"/>
  <c r="F74" i="95"/>
  <c r="E74" i="95"/>
  <c r="D74" i="95"/>
  <c r="H73" i="95"/>
  <c r="H72" i="95"/>
  <c r="H70" i="95"/>
  <c r="E69" i="95"/>
  <c r="F69" i="95" s="1"/>
  <c r="D68" i="95"/>
  <c r="H66" i="95"/>
  <c r="H65" i="95"/>
  <c r="H64" i="95"/>
  <c r="G63" i="95"/>
  <c r="F63" i="95"/>
  <c r="E63" i="95"/>
  <c r="D63" i="95"/>
  <c r="F62" i="95"/>
  <c r="E62" i="95"/>
  <c r="D62" i="95"/>
  <c r="H61" i="95"/>
  <c r="G60" i="95"/>
  <c r="G62" i="95" s="1"/>
  <c r="H62" i="95" s="1"/>
  <c r="G59" i="95"/>
  <c r="F59" i="95"/>
  <c r="E59" i="95"/>
  <c r="D59" i="95"/>
  <c r="H58" i="95"/>
  <c r="H57" i="95"/>
  <c r="F54" i="95"/>
  <c r="E54" i="95"/>
  <c r="D54" i="95"/>
  <c r="G53" i="95"/>
  <c r="F53" i="95"/>
  <c r="E53" i="95"/>
  <c r="D53" i="95"/>
  <c r="H52" i="95"/>
  <c r="H51" i="95"/>
  <c r="H50" i="95"/>
  <c r="G49" i="95"/>
  <c r="F49" i="95"/>
  <c r="E49" i="95"/>
  <c r="H48" i="95"/>
  <c r="D48" i="95"/>
  <c r="H47" i="95"/>
  <c r="G46" i="95"/>
  <c r="F46" i="95"/>
  <c r="E46" i="95"/>
  <c r="D46" i="95"/>
  <c r="H45" i="95"/>
  <c r="H44" i="95"/>
  <c r="G43" i="95"/>
  <c r="F43" i="95"/>
  <c r="E43" i="95"/>
  <c r="E40" i="95" s="1"/>
  <c r="E21" i="95" s="1"/>
  <c r="D43" i="95"/>
  <c r="H42" i="95"/>
  <c r="H41" i="95"/>
  <c r="G38" i="95"/>
  <c r="F38" i="95"/>
  <c r="E38" i="95"/>
  <c r="D38" i="95"/>
  <c r="G37" i="95"/>
  <c r="F37" i="95"/>
  <c r="E37" i="95"/>
  <c r="D37" i="95"/>
  <c r="H36" i="95"/>
  <c r="H35" i="95"/>
  <c r="G34" i="95"/>
  <c r="F34" i="95"/>
  <c r="E34" i="95"/>
  <c r="D34" i="95"/>
  <c r="H33" i="95"/>
  <c r="H32" i="95"/>
  <c r="G29" i="95"/>
  <c r="F29" i="95"/>
  <c r="F23" i="95" s="1"/>
  <c r="F18" i="95" s="1"/>
  <c r="F17" i="95" s="1"/>
  <c r="E29" i="95"/>
  <c r="E23" i="95" s="1"/>
  <c r="E18" i="95" s="1"/>
  <c r="D29" i="95"/>
  <c r="D23" i="95" s="1"/>
  <c r="D18" i="95" s="1"/>
  <c r="G28" i="95"/>
  <c r="F28" i="95"/>
  <c r="E28" i="95"/>
  <c r="D28" i="95"/>
  <c r="H27" i="95"/>
  <c r="H26" i="95"/>
  <c r="H15" i="95"/>
  <c r="H14" i="95"/>
  <c r="H13" i="95"/>
  <c r="H12" i="95"/>
  <c r="H11" i="95"/>
  <c r="H10" i="95"/>
  <c r="G69" i="95" l="1"/>
  <c r="H80" i="95"/>
  <c r="H162" i="95"/>
  <c r="F56" i="95"/>
  <c r="G31" i="95"/>
  <c r="E39" i="95"/>
  <c r="F40" i="95"/>
  <c r="F21" i="95" s="1"/>
  <c r="D40" i="95"/>
  <c r="D21" i="95" s="1"/>
  <c r="G54" i="95"/>
  <c r="H37" i="95"/>
  <c r="G40" i="95"/>
  <c r="G21" i="95" s="1"/>
  <c r="H21" i="95" s="1"/>
  <c r="E56" i="95"/>
  <c r="E55" i="95" s="1"/>
  <c r="D67" i="95"/>
  <c r="F31" i="95"/>
  <c r="F25" i="95" s="1"/>
  <c r="F155" i="95"/>
  <c r="F169" i="95" s="1"/>
  <c r="H59" i="95"/>
  <c r="H134" i="95"/>
  <c r="H60" i="95"/>
  <c r="H147" i="95"/>
  <c r="H29" i="95"/>
  <c r="E31" i="95"/>
  <c r="E25" i="95" s="1"/>
  <c r="F55" i="95"/>
  <c r="E17" i="95"/>
  <c r="H63" i="95"/>
  <c r="G68" i="95"/>
  <c r="D169" i="95"/>
  <c r="F175" i="95"/>
  <c r="D17" i="95"/>
  <c r="D31" i="95"/>
  <c r="D30" i="95" s="1"/>
  <c r="H43" i="95"/>
  <c r="H46" i="95"/>
  <c r="H49" i="95"/>
  <c r="H53" i="95"/>
  <c r="H54" i="95"/>
  <c r="D56" i="95"/>
  <c r="D55" i="95" s="1"/>
  <c r="H74" i="95"/>
  <c r="H101" i="95"/>
  <c r="H108" i="95"/>
  <c r="H115" i="95"/>
  <c r="G157" i="95"/>
  <c r="G171" i="95" s="1"/>
  <c r="G160" i="95"/>
  <c r="H160" i="95" s="1"/>
  <c r="E169" i="95"/>
  <c r="H185" i="95"/>
  <c r="H196" i="95"/>
  <c r="G172" i="95"/>
  <c r="H158" i="95"/>
  <c r="H69" i="95"/>
  <c r="F194" i="95"/>
  <c r="H194" i="95" s="1"/>
  <c r="H133" i="95"/>
  <c r="F75" i="95"/>
  <c r="H75" i="95" s="1"/>
  <c r="F116" i="95"/>
  <c r="H116" i="95" s="1"/>
  <c r="H132" i="95"/>
  <c r="H148" i="95"/>
  <c r="F172" i="95"/>
  <c r="G23" i="95"/>
  <c r="H23" i="95" s="1"/>
  <c r="G56" i="95"/>
  <c r="H56" i="95" s="1"/>
  <c r="E68" i="95"/>
  <c r="E67" i="95" s="1"/>
  <c r="G81" i="95"/>
  <c r="H81" i="95" s="1"/>
  <c r="G94" i="95"/>
  <c r="H94" i="95" s="1"/>
  <c r="G159" i="95"/>
  <c r="G173" i="95" s="1"/>
  <c r="H28" i="95"/>
  <c r="H31" i="95"/>
  <c r="G30" i="95"/>
  <c r="G55" i="95"/>
  <c r="H135" i="95"/>
  <c r="G25" i="95"/>
  <c r="H34" i="95"/>
  <c r="H38" i="95"/>
  <c r="G175" i="95"/>
  <c r="H161" i="95"/>
  <c r="G60" i="94"/>
  <c r="E60" i="94"/>
  <c r="F60" i="94"/>
  <c r="D60" i="94"/>
  <c r="E16" i="95" l="1"/>
  <c r="D39" i="95"/>
  <c r="G39" i="95"/>
  <c r="H157" i="95"/>
  <c r="H40" i="95"/>
  <c r="F24" i="95"/>
  <c r="F20" i="95"/>
  <c r="F19" i="95" s="1"/>
  <c r="F22" i="95" s="1"/>
  <c r="D25" i="95"/>
  <c r="D24" i="95" s="1"/>
  <c r="D16" i="95"/>
  <c r="F30" i="95"/>
  <c r="G174" i="95"/>
  <c r="H174" i="95" s="1"/>
  <c r="F39" i="95"/>
  <c r="E30" i="95"/>
  <c r="E20" i="95"/>
  <c r="E19" i="95" s="1"/>
  <c r="E22" i="95" s="1"/>
  <c r="E24" i="95"/>
  <c r="G18" i="95"/>
  <c r="H18" i="95" s="1"/>
  <c r="F68" i="95"/>
  <c r="H159" i="95"/>
  <c r="H172" i="95"/>
  <c r="G155" i="95"/>
  <c r="H155" i="95" s="1"/>
  <c r="G67" i="95"/>
  <c r="H25" i="95"/>
  <c r="G24" i="95"/>
  <c r="G20" i="95"/>
  <c r="H175" i="95"/>
  <c r="H171" i="95"/>
  <c r="H173" i="95"/>
  <c r="H136" i="95"/>
  <c r="H55" i="95"/>
  <c r="H30" i="95"/>
  <c r="D20" i="95" l="1"/>
  <c r="D19" i="95" s="1"/>
  <c r="D22" i="95" s="1"/>
  <c r="H39" i="95"/>
  <c r="G169" i="95"/>
  <c r="H169" i="95" s="1"/>
  <c r="G17" i="95"/>
  <c r="H17" i="95" s="1"/>
  <c r="F67" i="95"/>
  <c r="F16" i="95" s="1"/>
  <c r="H68" i="95"/>
  <c r="H24" i="95"/>
  <c r="H20" i="95"/>
  <c r="G19" i="95"/>
  <c r="E65" i="94"/>
  <c r="F65" i="94"/>
  <c r="G65" i="94"/>
  <c r="E66" i="94"/>
  <c r="F66" i="94"/>
  <c r="G66" i="94"/>
  <c r="D66" i="94"/>
  <c r="D65" i="94"/>
  <c r="E56" i="94"/>
  <c r="F56" i="94"/>
  <c r="G56" i="94"/>
  <c r="E57" i="94"/>
  <c r="F57" i="94"/>
  <c r="G57" i="94"/>
  <c r="E58" i="94"/>
  <c r="F58" i="94"/>
  <c r="G58" i="94"/>
  <c r="D57" i="94"/>
  <c r="D58" i="94"/>
  <c r="D56" i="94"/>
  <c r="E51" i="94"/>
  <c r="F51" i="94"/>
  <c r="G51" i="94"/>
  <c r="E52" i="94"/>
  <c r="F52" i="94"/>
  <c r="G52" i="94"/>
  <c r="E53" i="94"/>
  <c r="F53" i="94"/>
  <c r="G53" i="94"/>
  <c r="D53" i="94"/>
  <c r="D52" i="94"/>
  <c r="D51" i="94"/>
  <c r="E46" i="94"/>
  <c r="F46" i="94"/>
  <c r="G46" i="94"/>
  <c r="E47" i="94"/>
  <c r="F47" i="94"/>
  <c r="G47" i="94"/>
  <c r="E48" i="94"/>
  <c r="F48" i="94"/>
  <c r="G48" i="94"/>
  <c r="D48" i="94"/>
  <c r="D47" i="94"/>
  <c r="D46" i="94"/>
  <c r="E36" i="94"/>
  <c r="F36" i="94"/>
  <c r="G36" i="94"/>
  <c r="E37" i="94"/>
  <c r="F37" i="94"/>
  <c r="G37" i="94"/>
  <c r="E38" i="94"/>
  <c r="F38" i="94"/>
  <c r="G38" i="94"/>
  <c r="D37" i="94"/>
  <c r="D38" i="94"/>
  <c r="D36" i="94"/>
  <c r="E33" i="94"/>
  <c r="F33" i="94"/>
  <c r="G33" i="94"/>
  <c r="E34" i="94"/>
  <c r="F34" i="94"/>
  <c r="G34" i="94"/>
  <c r="D34" i="94"/>
  <c r="D33" i="94"/>
  <c r="E27" i="94"/>
  <c r="F27" i="94"/>
  <c r="G27" i="94"/>
  <c r="E28" i="94"/>
  <c r="F28" i="94"/>
  <c r="G28" i="94"/>
  <c r="D28" i="94"/>
  <c r="D27" i="94"/>
  <c r="E24" i="94"/>
  <c r="E21" i="94" s="1"/>
  <c r="F24" i="94"/>
  <c r="G24" i="94"/>
  <c r="E25" i="94"/>
  <c r="F25" i="94"/>
  <c r="G25" i="94"/>
  <c r="D25" i="94"/>
  <c r="D24" i="94"/>
  <c r="D21" i="94" s="1"/>
  <c r="E18" i="94"/>
  <c r="F18" i="94"/>
  <c r="G18" i="94"/>
  <c r="E19" i="94"/>
  <c r="F19" i="94"/>
  <c r="G19" i="94"/>
  <c r="D19" i="94"/>
  <c r="D18" i="94"/>
  <c r="A3" i="94"/>
  <c r="G16" i="95" l="1"/>
  <c r="G21" i="94"/>
  <c r="G15" i="94" s="1"/>
  <c r="F21" i="94"/>
  <c r="F15" i="94" s="1"/>
  <c r="G20" i="94"/>
  <c r="G64" i="94"/>
  <c r="D15" i="94"/>
  <c r="E20" i="94"/>
  <c r="D26" i="94"/>
  <c r="D29" i="94"/>
  <c r="F29" i="94"/>
  <c r="E29" i="94"/>
  <c r="D43" i="94"/>
  <c r="E15" i="94"/>
  <c r="E26" i="94"/>
  <c r="H67" i="95"/>
  <c r="G22" i="95"/>
  <c r="H19" i="95"/>
  <c r="H16" i="95"/>
  <c r="F20" i="94"/>
  <c r="G29" i="94"/>
  <c r="D64" i="94"/>
  <c r="E64" i="94"/>
  <c r="D20" i="94"/>
  <c r="F64" i="94"/>
  <c r="G26" i="94"/>
  <c r="F26" i="94"/>
  <c r="N179" i="92"/>
  <c r="K179" i="92"/>
  <c r="I179" i="92"/>
  <c r="H178" i="92"/>
  <c r="K178" i="92" s="1"/>
  <c r="N177" i="92"/>
  <c r="K177" i="92"/>
  <c r="I177" i="92"/>
  <c r="D177" i="92"/>
  <c r="H176" i="92"/>
  <c r="K176" i="92" s="1"/>
  <c r="G176" i="92"/>
  <c r="F176" i="92"/>
  <c r="E176" i="92"/>
  <c r="H175" i="92"/>
  <c r="E174" i="92"/>
  <c r="N173" i="92"/>
  <c r="K173" i="92"/>
  <c r="I173" i="92"/>
  <c r="F172" i="92"/>
  <c r="G172" i="92" s="1"/>
  <c r="F171" i="92"/>
  <c r="H171" i="92" s="1"/>
  <c r="N170" i="92"/>
  <c r="K170" i="92"/>
  <c r="I170" i="92"/>
  <c r="N169" i="92"/>
  <c r="K169" i="92"/>
  <c r="I169" i="92"/>
  <c r="H168" i="92"/>
  <c r="K168" i="92" s="1"/>
  <c r="H167" i="92"/>
  <c r="K167" i="92" s="1"/>
  <c r="N166" i="92"/>
  <c r="K166" i="92"/>
  <c r="I166" i="92"/>
  <c r="J165" i="92"/>
  <c r="H165" i="92"/>
  <c r="G165" i="92"/>
  <c r="F165" i="92"/>
  <c r="E165" i="92"/>
  <c r="D165" i="92"/>
  <c r="N164" i="92"/>
  <c r="K164" i="92"/>
  <c r="I164" i="92"/>
  <c r="N163" i="92"/>
  <c r="K163" i="92"/>
  <c r="I163" i="92"/>
  <c r="N162" i="92"/>
  <c r="K162" i="92"/>
  <c r="I162" i="92"/>
  <c r="N161" i="92"/>
  <c r="K161" i="92"/>
  <c r="I161" i="92"/>
  <c r="N160" i="92"/>
  <c r="K160" i="92"/>
  <c r="I160" i="92"/>
  <c r="N159" i="92"/>
  <c r="K159" i="92"/>
  <c r="I159" i="92"/>
  <c r="N158" i="92"/>
  <c r="K158" i="92"/>
  <c r="I158" i="92"/>
  <c r="N157" i="92"/>
  <c r="K157" i="92"/>
  <c r="I157" i="92"/>
  <c r="N156" i="92"/>
  <c r="K156" i="92"/>
  <c r="I156" i="92"/>
  <c r="E155" i="92"/>
  <c r="D155" i="92"/>
  <c r="E154" i="92"/>
  <c r="D154" i="92"/>
  <c r="E153" i="92"/>
  <c r="D153" i="92"/>
  <c r="E152" i="92"/>
  <c r="D152" i="92"/>
  <c r="E151" i="92"/>
  <c r="D151" i="92"/>
  <c r="N150" i="92"/>
  <c r="K150" i="92"/>
  <c r="I150" i="92"/>
  <c r="N148" i="92"/>
  <c r="K148" i="92"/>
  <c r="I148" i="92"/>
  <c r="N147" i="92"/>
  <c r="K147" i="92"/>
  <c r="I147" i="92"/>
  <c r="N146" i="92"/>
  <c r="K146" i="92"/>
  <c r="I146" i="92"/>
  <c r="N145" i="92"/>
  <c r="K145" i="92"/>
  <c r="I145" i="92"/>
  <c r="N144" i="92"/>
  <c r="K144" i="92"/>
  <c r="I144" i="92"/>
  <c r="N143" i="92"/>
  <c r="K143" i="92"/>
  <c r="I143" i="92"/>
  <c r="J142" i="92"/>
  <c r="H142" i="92"/>
  <c r="G142" i="92"/>
  <c r="F142" i="92"/>
  <c r="E142" i="92"/>
  <c r="D142" i="92"/>
  <c r="J141" i="92"/>
  <c r="J155" i="92" s="1"/>
  <c r="F141" i="92"/>
  <c r="F155" i="92" s="1"/>
  <c r="J140" i="92"/>
  <c r="J154" i="92" s="1"/>
  <c r="F140" i="92"/>
  <c r="G140" i="92" s="1"/>
  <c r="G154" i="92" s="1"/>
  <c r="J139" i="92"/>
  <c r="J153" i="92" s="1"/>
  <c r="F139" i="92"/>
  <c r="F153" i="92" s="1"/>
  <c r="J138" i="92"/>
  <c r="F138" i="92"/>
  <c r="J137" i="92"/>
  <c r="J151" i="92" s="1"/>
  <c r="F137" i="92"/>
  <c r="F151" i="92" s="1"/>
  <c r="N136" i="92"/>
  <c r="K136" i="92"/>
  <c r="I136" i="92"/>
  <c r="E135" i="92"/>
  <c r="D135" i="92"/>
  <c r="N134" i="92"/>
  <c r="K134" i="92"/>
  <c r="I134" i="92"/>
  <c r="H133" i="92"/>
  <c r="N132" i="92"/>
  <c r="K132" i="92"/>
  <c r="I132" i="92"/>
  <c r="N131" i="92"/>
  <c r="K131" i="92"/>
  <c r="I131" i="92"/>
  <c r="N130" i="92"/>
  <c r="K130" i="92"/>
  <c r="I130" i="92"/>
  <c r="N129" i="92"/>
  <c r="K129" i="92"/>
  <c r="I129" i="92"/>
  <c r="K128" i="92"/>
  <c r="I128" i="92"/>
  <c r="G128" i="92"/>
  <c r="G127" i="92" s="1"/>
  <c r="F128" i="92"/>
  <c r="N128" i="92" s="1"/>
  <c r="J127" i="92"/>
  <c r="E127" i="92"/>
  <c r="D127" i="92"/>
  <c r="N126" i="92"/>
  <c r="K126" i="92"/>
  <c r="I126" i="92"/>
  <c r="F125" i="92"/>
  <c r="H125" i="92" s="1"/>
  <c r="N124" i="92"/>
  <c r="K124" i="92"/>
  <c r="E124" i="92"/>
  <c r="I124" i="92" s="1"/>
  <c r="N123" i="92"/>
  <c r="K123" i="92"/>
  <c r="I123" i="92"/>
  <c r="H122" i="92"/>
  <c r="H121" i="92"/>
  <c r="D121" i="92"/>
  <c r="H120" i="92"/>
  <c r="K120" i="92" s="1"/>
  <c r="H119" i="92"/>
  <c r="K119" i="92" s="1"/>
  <c r="N118" i="92"/>
  <c r="K118" i="92"/>
  <c r="I118" i="92"/>
  <c r="N117" i="92"/>
  <c r="K117" i="92"/>
  <c r="I117" i="92"/>
  <c r="D116" i="92"/>
  <c r="H115" i="92"/>
  <c r="J114" i="92" s="1"/>
  <c r="H114" i="92"/>
  <c r="G114" i="92"/>
  <c r="F114" i="92"/>
  <c r="F116" i="92" s="1"/>
  <c r="E114" i="92"/>
  <c r="E116" i="92" s="1"/>
  <c r="G112" i="92"/>
  <c r="G113" i="92" s="1"/>
  <c r="G174" i="92" s="1"/>
  <c r="F112" i="92"/>
  <c r="F113" i="92" s="1"/>
  <c r="E112" i="92"/>
  <c r="N111" i="92"/>
  <c r="K111" i="92"/>
  <c r="I111" i="92"/>
  <c r="N110" i="92"/>
  <c r="K110" i="92"/>
  <c r="I110" i="92"/>
  <c r="N109" i="92"/>
  <c r="K109" i="92"/>
  <c r="I109" i="92"/>
  <c r="N108" i="92"/>
  <c r="K108" i="92"/>
  <c r="I108" i="92"/>
  <c r="H107" i="92"/>
  <c r="K107" i="92" s="1"/>
  <c r="G107" i="92"/>
  <c r="H106" i="92"/>
  <c r="K106" i="92" s="1"/>
  <c r="G106" i="92"/>
  <c r="H105" i="92"/>
  <c r="K105" i="92" s="1"/>
  <c r="H104" i="92"/>
  <c r="K104" i="92" s="1"/>
  <c r="H103" i="92"/>
  <c r="K103" i="92" s="1"/>
  <c r="H102" i="92"/>
  <c r="K102" i="92" s="1"/>
  <c r="N101" i="92"/>
  <c r="K101" i="92"/>
  <c r="I101" i="92"/>
  <c r="H100" i="92"/>
  <c r="K100" i="92" s="1"/>
  <c r="N99" i="92"/>
  <c r="K99" i="92"/>
  <c r="I99" i="92"/>
  <c r="K98" i="92"/>
  <c r="G98" i="92"/>
  <c r="E97" i="92"/>
  <c r="J96" i="92"/>
  <c r="H96" i="92"/>
  <c r="G96" i="92"/>
  <c r="F96" i="92"/>
  <c r="E96" i="92"/>
  <c r="N95" i="92"/>
  <c r="K95" i="92"/>
  <c r="I95" i="92"/>
  <c r="N94" i="92"/>
  <c r="K94" i="92"/>
  <c r="I94" i="92"/>
  <c r="N93" i="92"/>
  <c r="K93" i="92"/>
  <c r="I93" i="92"/>
  <c r="N92" i="92"/>
  <c r="K92" i="92"/>
  <c r="I92" i="92"/>
  <c r="N91" i="92"/>
  <c r="K91" i="92"/>
  <c r="I91" i="92"/>
  <c r="N90" i="92"/>
  <c r="K90" i="92"/>
  <c r="I90" i="92"/>
  <c r="J89" i="92"/>
  <c r="H89" i="92"/>
  <c r="G89" i="92"/>
  <c r="F89" i="92"/>
  <c r="E89" i="92"/>
  <c r="D89" i="92"/>
  <c r="N88" i="92"/>
  <c r="K88" i="92"/>
  <c r="I88" i="92"/>
  <c r="N87" i="92"/>
  <c r="K87" i="92"/>
  <c r="I87" i="92"/>
  <c r="N86" i="92"/>
  <c r="K86" i="92"/>
  <c r="I86" i="92"/>
  <c r="N85" i="92"/>
  <c r="K85" i="92"/>
  <c r="I85" i="92"/>
  <c r="N84" i="92"/>
  <c r="K84" i="92"/>
  <c r="I84" i="92"/>
  <c r="N83" i="92"/>
  <c r="K83" i="92"/>
  <c r="I83" i="92"/>
  <c r="J82" i="92"/>
  <c r="H82" i="92"/>
  <c r="G82" i="92"/>
  <c r="F82" i="92"/>
  <c r="E82" i="92"/>
  <c r="D82" i="92"/>
  <c r="N81" i="92"/>
  <c r="K81" i="92"/>
  <c r="I81" i="92"/>
  <c r="G80" i="92"/>
  <c r="H80" i="92" s="1"/>
  <c r="I80" i="92" s="1"/>
  <c r="G79" i="92"/>
  <c r="H79" i="92" s="1"/>
  <c r="I79" i="92" s="1"/>
  <c r="G78" i="92"/>
  <c r="H78" i="92" s="1"/>
  <c r="I78" i="92" s="1"/>
  <c r="G77" i="92"/>
  <c r="H77" i="92" s="1"/>
  <c r="I77" i="92" s="1"/>
  <c r="G76" i="92"/>
  <c r="H76" i="92" s="1"/>
  <c r="F75" i="92"/>
  <c r="E75" i="92"/>
  <c r="D75" i="92"/>
  <c r="N74" i="92"/>
  <c r="K74" i="92"/>
  <c r="I74" i="92"/>
  <c r="J73" i="92"/>
  <c r="H73" i="92"/>
  <c r="G73" i="92"/>
  <c r="F73" i="92"/>
  <c r="E73" i="92"/>
  <c r="D73" i="92"/>
  <c r="N72" i="92"/>
  <c r="K72" i="92"/>
  <c r="I72" i="92"/>
  <c r="N71" i="92"/>
  <c r="K71" i="92"/>
  <c r="I71" i="92"/>
  <c r="N70" i="92"/>
  <c r="K70" i="92"/>
  <c r="I70" i="92"/>
  <c r="N69" i="92"/>
  <c r="K69" i="92"/>
  <c r="I69" i="92"/>
  <c r="E68" i="92"/>
  <c r="J67" i="92"/>
  <c r="H67" i="92"/>
  <c r="G67" i="92"/>
  <c r="F67" i="92"/>
  <c r="E67" i="92"/>
  <c r="D67" i="92"/>
  <c r="N66" i="92"/>
  <c r="K66" i="92"/>
  <c r="I66" i="92"/>
  <c r="N65" i="92"/>
  <c r="K65" i="92"/>
  <c r="I65" i="92"/>
  <c r="N63" i="92"/>
  <c r="K63" i="92"/>
  <c r="I63" i="92"/>
  <c r="E62" i="92"/>
  <c r="G62" i="92" s="1"/>
  <c r="D61" i="92"/>
  <c r="G59" i="92"/>
  <c r="H59" i="92" s="1"/>
  <c r="G58" i="92"/>
  <c r="H58" i="92" s="1"/>
  <c r="I58" i="92" s="1"/>
  <c r="G57" i="92"/>
  <c r="H57" i="92" s="1"/>
  <c r="F56" i="92"/>
  <c r="E56" i="92"/>
  <c r="D56" i="92"/>
  <c r="J55" i="92"/>
  <c r="H55" i="92"/>
  <c r="G55" i="92"/>
  <c r="F55" i="92"/>
  <c r="E55" i="92"/>
  <c r="D55" i="92"/>
  <c r="N54" i="92"/>
  <c r="K54" i="92"/>
  <c r="I54" i="92"/>
  <c r="N53" i="92"/>
  <c r="K53" i="92"/>
  <c r="I53" i="92"/>
  <c r="J52" i="92"/>
  <c r="H52" i="92"/>
  <c r="G52" i="92"/>
  <c r="F52" i="92"/>
  <c r="F49" i="92" s="1"/>
  <c r="E52" i="92"/>
  <c r="D52" i="92"/>
  <c r="D49" i="92" s="1"/>
  <c r="N51" i="92"/>
  <c r="K51" i="92"/>
  <c r="I51" i="92"/>
  <c r="N50" i="92"/>
  <c r="K50" i="92"/>
  <c r="I50" i="92"/>
  <c r="J47" i="92"/>
  <c r="H47" i="92"/>
  <c r="G47" i="92"/>
  <c r="F47" i="92"/>
  <c r="E47" i="92"/>
  <c r="D47" i="92"/>
  <c r="J46" i="92"/>
  <c r="H46" i="92"/>
  <c r="G46" i="92"/>
  <c r="F46" i="92"/>
  <c r="E46" i="92"/>
  <c r="D46" i="92"/>
  <c r="N45" i="92"/>
  <c r="K45" i="92"/>
  <c r="I45" i="92"/>
  <c r="N44" i="92"/>
  <c r="K44" i="92"/>
  <c r="I44" i="92"/>
  <c r="N43" i="92"/>
  <c r="K43" i="92"/>
  <c r="I43" i="92"/>
  <c r="J42" i="92"/>
  <c r="H42" i="92"/>
  <c r="G42" i="92"/>
  <c r="F42" i="92"/>
  <c r="E42" i="92"/>
  <c r="N41" i="92"/>
  <c r="K41" i="92"/>
  <c r="I41" i="92"/>
  <c r="D41" i="92"/>
  <c r="N40" i="92"/>
  <c r="K40" i="92"/>
  <c r="I40" i="92"/>
  <c r="J39" i="92"/>
  <c r="H39" i="92"/>
  <c r="G39" i="92"/>
  <c r="F39" i="92"/>
  <c r="E39" i="92"/>
  <c r="D39" i="92"/>
  <c r="N38" i="92"/>
  <c r="K38" i="92"/>
  <c r="I38" i="92"/>
  <c r="N37" i="92"/>
  <c r="K37" i="92"/>
  <c r="I37" i="92"/>
  <c r="J36" i="92"/>
  <c r="H36" i="92"/>
  <c r="G36" i="92"/>
  <c r="F36" i="92"/>
  <c r="F33" i="92" s="1"/>
  <c r="E36" i="92"/>
  <c r="D36" i="92"/>
  <c r="D33" i="92" s="1"/>
  <c r="N35" i="92"/>
  <c r="K35" i="92"/>
  <c r="I35" i="92"/>
  <c r="N34" i="92"/>
  <c r="K34" i="92"/>
  <c r="I34" i="92"/>
  <c r="J31" i="92"/>
  <c r="H31" i="92"/>
  <c r="G31" i="92"/>
  <c r="F31" i="92"/>
  <c r="E31" i="92"/>
  <c r="D31" i="92"/>
  <c r="J30" i="92"/>
  <c r="H30" i="92"/>
  <c r="G30" i="92"/>
  <c r="F30" i="92"/>
  <c r="E30" i="92"/>
  <c r="D30" i="92"/>
  <c r="N29" i="92"/>
  <c r="K29" i="92"/>
  <c r="I29" i="92"/>
  <c r="N28" i="92"/>
  <c r="K28" i="92"/>
  <c r="I28" i="92"/>
  <c r="J27" i="92"/>
  <c r="H27" i="92"/>
  <c r="G27" i="92"/>
  <c r="F27" i="92"/>
  <c r="F24" i="92" s="1"/>
  <c r="E27" i="92"/>
  <c r="D27" i="92"/>
  <c r="D24" i="92" s="1"/>
  <c r="N26" i="92"/>
  <c r="K26" i="92"/>
  <c r="I26" i="92"/>
  <c r="N25" i="92"/>
  <c r="K25" i="92"/>
  <c r="I25" i="92"/>
  <c r="E24" i="92"/>
  <c r="J22" i="92"/>
  <c r="J16" i="92" s="1"/>
  <c r="J11" i="92" s="1"/>
  <c r="H22" i="92"/>
  <c r="G22" i="92"/>
  <c r="G16" i="92" s="1"/>
  <c r="F22" i="92"/>
  <c r="E22" i="92"/>
  <c r="E16" i="92" s="1"/>
  <c r="D22" i="92"/>
  <c r="D16" i="92" s="1"/>
  <c r="J21" i="92"/>
  <c r="H21" i="92"/>
  <c r="G21" i="92"/>
  <c r="F21" i="92"/>
  <c r="E21" i="92"/>
  <c r="D21" i="92"/>
  <c r="N20" i="92"/>
  <c r="K20" i="92"/>
  <c r="I20" i="92"/>
  <c r="N19" i="92"/>
  <c r="K19" i="92"/>
  <c r="I19" i="92"/>
  <c r="N8" i="92"/>
  <c r="K8" i="92"/>
  <c r="I8" i="92"/>
  <c r="G11" i="92" l="1"/>
  <c r="I46" i="92"/>
  <c r="F18" i="92"/>
  <c r="F13" i="92" s="1"/>
  <c r="D11" i="92"/>
  <c r="D10" i="92" s="1"/>
  <c r="D18" i="92"/>
  <c r="D17" i="92" s="1"/>
  <c r="I73" i="92"/>
  <c r="G75" i="92"/>
  <c r="E11" i="92"/>
  <c r="E10" i="92" s="1"/>
  <c r="K39" i="92"/>
  <c r="I42" i="92"/>
  <c r="K42" i="92"/>
  <c r="K55" i="92"/>
  <c r="I96" i="92"/>
  <c r="I168" i="92"/>
  <c r="I47" i="92"/>
  <c r="I104" i="92"/>
  <c r="I120" i="92"/>
  <c r="F127" i="92"/>
  <c r="G139" i="92"/>
  <c r="H139" i="92" s="1"/>
  <c r="I139" i="92" s="1"/>
  <c r="E18" i="92"/>
  <c r="E17" i="92" s="1"/>
  <c r="I30" i="92"/>
  <c r="K30" i="92"/>
  <c r="D48" i="92"/>
  <c r="I31" i="92"/>
  <c r="K96" i="92"/>
  <c r="I107" i="92"/>
  <c r="K46" i="92"/>
  <c r="I89" i="92"/>
  <c r="K89" i="92"/>
  <c r="F23" i="94"/>
  <c r="F22" i="94" s="1"/>
  <c r="E23" i="94"/>
  <c r="E22" i="94" s="1"/>
  <c r="D23" i="94"/>
  <c r="D22" i="94" s="1"/>
  <c r="G23" i="94"/>
  <c r="G22" i="94" s="1"/>
  <c r="H22" i="95"/>
  <c r="I102" i="92"/>
  <c r="I114" i="92"/>
  <c r="E149" i="92"/>
  <c r="G141" i="92"/>
  <c r="H141" i="92" s="1"/>
  <c r="H155" i="92" s="1"/>
  <c r="D149" i="92"/>
  <c r="G24" i="92"/>
  <c r="G18" i="92" s="1"/>
  <c r="F23" i="92"/>
  <c r="F16" i="92"/>
  <c r="N22" i="92"/>
  <c r="H16" i="92"/>
  <c r="I16" i="92" s="1"/>
  <c r="K22" i="92"/>
  <c r="I76" i="92"/>
  <c r="H75" i="92"/>
  <c r="I75" i="92" s="1"/>
  <c r="N36" i="92"/>
  <c r="K36" i="92"/>
  <c r="N52" i="92"/>
  <c r="K52" i="92"/>
  <c r="N67" i="92"/>
  <c r="K67" i="92"/>
  <c r="N98" i="92"/>
  <c r="N103" i="92"/>
  <c r="N105" i="92"/>
  <c r="N119" i="92"/>
  <c r="N165" i="92"/>
  <c r="K165" i="92"/>
  <c r="N167" i="92"/>
  <c r="N178" i="92"/>
  <c r="I22" i="92"/>
  <c r="D23" i="92"/>
  <c r="N30" i="92"/>
  <c r="K31" i="92"/>
  <c r="H33" i="92"/>
  <c r="H32" i="92" s="1"/>
  <c r="E33" i="92"/>
  <c r="G33" i="92"/>
  <c r="G32" i="92" s="1"/>
  <c r="I39" i="92"/>
  <c r="N42" i="92"/>
  <c r="N46" i="92"/>
  <c r="K47" i="92"/>
  <c r="H49" i="92"/>
  <c r="E49" i="92"/>
  <c r="E48" i="92" s="1"/>
  <c r="G49" i="92"/>
  <c r="G48" i="92" s="1"/>
  <c r="I55" i="92"/>
  <c r="I67" i="92"/>
  <c r="D60" i="92"/>
  <c r="I82" i="92"/>
  <c r="N89" i="92"/>
  <c r="N96" i="92"/>
  <c r="I98" i="92"/>
  <c r="N102" i="92"/>
  <c r="I103" i="92"/>
  <c r="N104" i="92"/>
  <c r="I105" i="92"/>
  <c r="N107" i="92"/>
  <c r="I119" i="92"/>
  <c r="N120" i="92"/>
  <c r="G137" i="92"/>
  <c r="H137" i="92" s="1"/>
  <c r="K139" i="92"/>
  <c r="H140" i="92"/>
  <c r="I140" i="92" s="1"/>
  <c r="F154" i="92"/>
  <c r="I165" i="92"/>
  <c r="I167" i="92"/>
  <c r="N168" i="92"/>
  <c r="G171" i="92"/>
  <c r="H172" i="92"/>
  <c r="J172" i="92" s="1"/>
  <c r="K172" i="92" s="1"/>
  <c r="I176" i="92"/>
  <c r="N176" i="92"/>
  <c r="I178" i="92"/>
  <c r="F174" i="92"/>
  <c r="H113" i="92"/>
  <c r="I21" i="92"/>
  <c r="N21" i="92"/>
  <c r="E23" i="92"/>
  <c r="I27" i="92"/>
  <c r="H24" i="92"/>
  <c r="N27" i="92"/>
  <c r="D32" i="92"/>
  <c r="D14" i="92"/>
  <c r="N33" i="92"/>
  <c r="I36" i="92"/>
  <c r="H48" i="92"/>
  <c r="I52" i="92"/>
  <c r="N57" i="92"/>
  <c r="J57" i="92"/>
  <c r="H56" i="92"/>
  <c r="N59" i="92"/>
  <c r="J59" i="92"/>
  <c r="K59" i="92" s="1"/>
  <c r="H68" i="92"/>
  <c r="F68" i="92"/>
  <c r="N73" i="92"/>
  <c r="N75" i="92"/>
  <c r="N76" i="92"/>
  <c r="N77" i="92"/>
  <c r="N78" i="92"/>
  <c r="N79" i="92"/>
  <c r="N80" i="92"/>
  <c r="N82" i="92"/>
  <c r="H97" i="92"/>
  <c r="F97" i="92"/>
  <c r="H112" i="92"/>
  <c r="K114" i="92"/>
  <c r="J116" i="92"/>
  <c r="N121" i="92"/>
  <c r="I121" i="92"/>
  <c r="K121" i="92"/>
  <c r="I125" i="92"/>
  <c r="J125" i="92"/>
  <c r="K125" i="92" s="1"/>
  <c r="G138" i="92"/>
  <c r="F135" i="92"/>
  <c r="F149" i="92" s="1"/>
  <c r="F152" i="92"/>
  <c r="H154" i="92"/>
  <c r="I142" i="92"/>
  <c r="N142" i="92"/>
  <c r="D13" i="92"/>
  <c r="G14" i="92"/>
  <c r="K21" i="92"/>
  <c r="K27" i="92"/>
  <c r="J24" i="92"/>
  <c r="N31" i="92"/>
  <c r="F32" i="92"/>
  <c r="F14" i="92"/>
  <c r="J33" i="92"/>
  <c r="N39" i="92"/>
  <c r="N47" i="92"/>
  <c r="F48" i="92"/>
  <c r="J49" i="92"/>
  <c r="N55" i="92"/>
  <c r="G56" i="92"/>
  <c r="G10" i="92" s="1"/>
  <c r="I57" i="92"/>
  <c r="N58" i="92"/>
  <c r="J58" i="92"/>
  <c r="K58" i="92" s="1"/>
  <c r="I59" i="92"/>
  <c r="E61" i="92"/>
  <c r="E60" i="92" s="1"/>
  <c r="H62" i="92"/>
  <c r="F62" i="92"/>
  <c r="F61" i="92" s="1"/>
  <c r="F60" i="92" s="1"/>
  <c r="G68" i="92"/>
  <c r="G61" i="92" s="1"/>
  <c r="K73" i="92"/>
  <c r="J76" i="92"/>
  <c r="J77" i="92"/>
  <c r="K77" i="92" s="1"/>
  <c r="J78" i="92"/>
  <c r="K78" i="92" s="1"/>
  <c r="J79" i="92"/>
  <c r="K79" i="92" s="1"/>
  <c r="J80" i="92"/>
  <c r="K80" i="92" s="1"/>
  <c r="K82" i="92"/>
  <c r="G97" i="92"/>
  <c r="N100" i="92"/>
  <c r="I100" i="92"/>
  <c r="N106" i="92"/>
  <c r="I106" i="92"/>
  <c r="N115" i="92"/>
  <c r="I115" i="92"/>
  <c r="K115" i="92"/>
  <c r="H116" i="92"/>
  <c r="N122" i="92"/>
  <c r="I122" i="92"/>
  <c r="K122" i="92"/>
  <c r="N125" i="92"/>
  <c r="N133" i="92"/>
  <c r="I133" i="92"/>
  <c r="K133" i="92"/>
  <c r="H127" i="92"/>
  <c r="J135" i="92"/>
  <c r="J149" i="92" s="1"/>
  <c r="J152" i="92"/>
  <c r="N175" i="92"/>
  <c r="I175" i="92"/>
  <c r="K175" i="92"/>
  <c r="N114" i="92"/>
  <c r="H153" i="92"/>
  <c r="K142" i="92"/>
  <c r="G153" i="92"/>
  <c r="N171" i="92"/>
  <c r="J171" i="92"/>
  <c r="K171" i="92" s="1"/>
  <c r="I171" i="92"/>
  <c r="G115" i="92"/>
  <c r="G116" i="92" s="1"/>
  <c r="H54" i="80"/>
  <c r="J54" i="80"/>
  <c r="H53" i="80"/>
  <c r="J53" i="80"/>
  <c r="E13" i="92" l="1"/>
  <c r="E9" i="92"/>
  <c r="F12" i="92"/>
  <c r="F15" i="92" s="1"/>
  <c r="G23" i="92"/>
  <c r="D9" i="92"/>
  <c r="N139" i="92"/>
  <c r="G60" i="92"/>
  <c r="G9" i="92" s="1"/>
  <c r="G155" i="92"/>
  <c r="I49" i="92"/>
  <c r="I141" i="92"/>
  <c r="I172" i="92"/>
  <c r="N141" i="92"/>
  <c r="N49" i="92"/>
  <c r="I33" i="92"/>
  <c r="E17" i="94"/>
  <c r="E16" i="94" s="1"/>
  <c r="G17" i="94"/>
  <c r="G16" i="94" s="1"/>
  <c r="F17" i="94"/>
  <c r="F16" i="94" s="1"/>
  <c r="D17" i="94"/>
  <c r="D16" i="94" s="1"/>
  <c r="K140" i="92"/>
  <c r="K141" i="92"/>
  <c r="N16" i="92"/>
  <c r="H11" i="92"/>
  <c r="F17" i="92"/>
  <c r="F11" i="92"/>
  <c r="F10" i="92" s="1"/>
  <c r="F9" i="92" s="1"/>
  <c r="N172" i="92"/>
  <c r="D12" i="92"/>
  <c r="D15" i="92" s="1"/>
  <c r="G151" i="92"/>
  <c r="N140" i="92"/>
  <c r="H14" i="92"/>
  <c r="E32" i="92"/>
  <c r="I32" i="92" s="1"/>
  <c r="E14" i="92"/>
  <c r="E12" i="92" s="1"/>
  <c r="E15" i="92" s="1"/>
  <c r="K16" i="92"/>
  <c r="N153" i="92"/>
  <c r="I153" i="92"/>
  <c r="N155" i="92"/>
  <c r="I155" i="92"/>
  <c r="K155" i="92"/>
  <c r="I154" i="92"/>
  <c r="N154" i="92"/>
  <c r="G152" i="92"/>
  <c r="H138" i="92"/>
  <c r="H135" i="92" s="1"/>
  <c r="H151" i="92"/>
  <c r="N137" i="92"/>
  <c r="K137" i="92"/>
  <c r="I137" i="92"/>
  <c r="N112" i="92"/>
  <c r="I112" i="92"/>
  <c r="N97" i="92"/>
  <c r="J97" i="92"/>
  <c r="K97" i="92" s="1"/>
  <c r="I97" i="92"/>
  <c r="N68" i="92"/>
  <c r="J68" i="92"/>
  <c r="K68" i="92" s="1"/>
  <c r="I68" i="92"/>
  <c r="J56" i="92"/>
  <c r="K57" i="92"/>
  <c r="N48" i="92"/>
  <c r="I48" i="92"/>
  <c r="N14" i="92"/>
  <c r="N24" i="92"/>
  <c r="H23" i="92"/>
  <c r="I24" i="92"/>
  <c r="H18" i="92"/>
  <c r="H174" i="92"/>
  <c r="I113" i="92"/>
  <c r="N113" i="92"/>
  <c r="J112" i="92"/>
  <c r="K153" i="92"/>
  <c r="I127" i="92"/>
  <c r="N127" i="92"/>
  <c r="I116" i="92"/>
  <c r="N116" i="92"/>
  <c r="K76" i="92"/>
  <c r="J75" i="92"/>
  <c r="K75" i="92" s="1"/>
  <c r="N62" i="92"/>
  <c r="J62" i="92"/>
  <c r="H61" i="92"/>
  <c r="I62" i="92"/>
  <c r="K49" i="92"/>
  <c r="J48" i="92"/>
  <c r="K48" i="92" s="1"/>
  <c r="K33" i="92"/>
  <c r="J32" i="92"/>
  <c r="K32" i="92" s="1"/>
  <c r="J14" i="92"/>
  <c r="K24" i="92"/>
  <c r="J23" i="92"/>
  <c r="K23" i="92" s="1"/>
  <c r="J18" i="92"/>
  <c r="K154" i="92"/>
  <c r="G135" i="92"/>
  <c r="G149" i="92" s="1"/>
  <c r="K127" i="92"/>
  <c r="K116" i="92"/>
  <c r="N56" i="92"/>
  <c r="I56" i="92"/>
  <c r="N32" i="92"/>
  <c r="G17" i="92"/>
  <c r="G13" i="92"/>
  <c r="G12" i="92" s="1"/>
  <c r="G15" i="92" s="1"/>
  <c r="J105" i="88"/>
  <c r="I14" i="92" l="1"/>
  <c r="N11" i="92"/>
  <c r="K11" i="92"/>
  <c r="I11" i="92"/>
  <c r="H10" i="92"/>
  <c r="K14" i="92"/>
  <c r="N61" i="92"/>
  <c r="I61" i="92"/>
  <c r="H60" i="92"/>
  <c r="K112" i="92"/>
  <c r="J113" i="92"/>
  <c r="N18" i="92"/>
  <c r="H17" i="92"/>
  <c r="H13" i="92"/>
  <c r="I18" i="92"/>
  <c r="I23" i="92"/>
  <c r="N23" i="92"/>
  <c r="N135" i="92"/>
  <c r="I135" i="92"/>
  <c r="H149" i="92"/>
  <c r="N151" i="92"/>
  <c r="I151" i="92"/>
  <c r="K151" i="92"/>
  <c r="K18" i="92"/>
  <c r="J17" i="92"/>
  <c r="K17" i="92" s="1"/>
  <c r="J13" i="92"/>
  <c r="J61" i="92"/>
  <c r="K62" i="92"/>
  <c r="K135" i="92"/>
  <c r="N174" i="92"/>
  <c r="I174" i="92"/>
  <c r="K56" i="92"/>
  <c r="J10" i="92"/>
  <c r="I138" i="92"/>
  <c r="N138" i="92"/>
  <c r="H152" i="92"/>
  <c r="K138" i="92"/>
  <c r="I12" i="88"/>
  <c r="I11" i="88"/>
  <c r="I10" i="92" l="1"/>
  <c r="N10" i="92"/>
  <c r="I152" i="92"/>
  <c r="N152" i="92"/>
  <c r="K152" i="92"/>
  <c r="K13" i="92"/>
  <c r="J12" i="92"/>
  <c r="N149" i="92"/>
  <c r="I149" i="92"/>
  <c r="K149" i="92"/>
  <c r="I13" i="92"/>
  <c r="N13" i="92"/>
  <c r="H12" i="92"/>
  <c r="K10" i="92"/>
  <c r="K61" i="92"/>
  <c r="J60" i="92"/>
  <c r="K60" i="92" s="1"/>
  <c r="I17" i="92"/>
  <c r="N17" i="92"/>
  <c r="J174" i="92"/>
  <c r="K174" i="92" s="1"/>
  <c r="K113" i="92"/>
  <c r="I60" i="92"/>
  <c r="N60" i="92"/>
  <c r="H9" i="92"/>
  <c r="I102" i="88"/>
  <c r="J93" i="88"/>
  <c r="I93" i="88"/>
  <c r="J92" i="88"/>
  <c r="I92" i="88"/>
  <c r="J91" i="88"/>
  <c r="I91" i="88"/>
  <c r="J90" i="88"/>
  <c r="I90" i="88"/>
  <c r="J89" i="88"/>
  <c r="I89" i="88"/>
  <c r="J88" i="88"/>
  <c r="I88" i="88"/>
  <c r="J86" i="88"/>
  <c r="I86" i="88"/>
  <c r="J85" i="88"/>
  <c r="I85" i="88"/>
  <c r="J84" i="88"/>
  <c r="I84" i="88"/>
  <c r="J83" i="88"/>
  <c r="I83" i="88"/>
  <c r="H87" i="88"/>
  <c r="H82" i="88"/>
  <c r="F87" i="88"/>
  <c r="F82" i="88"/>
  <c r="F63" i="88"/>
  <c r="H60" i="88"/>
  <c r="F60" i="88"/>
  <c r="I9" i="92" l="1"/>
  <c r="N9" i="92"/>
  <c r="J9" i="92"/>
  <c r="K9" i="92" s="1"/>
  <c r="N12" i="92"/>
  <c r="H15" i="92"/>
  <c r="I12" i="92"/>
  <c r="J15" i="92"/>
  <c r="K12" i="92"/>
  <c r="J82" i="88"/>
  <c r="I82" i="88"/>
  <c r="J87" i="88"/>
  <c r="I87" i="88"/>
  <c r="F81" i="88"/>
  <c r="H81" i="88"/>
  <c r="F94" i="88"/>
  <c r="K15" i="92" l="1"/>
  <c r="I15" i="92"/>
  <c r="N15" i="92"/>
  <c r="J199" i="88"/>
  <c r="J198" i="88"/>
  <c r="J197" i="88"/>
  <c r="J195" i="88"/>
  <c r="J193" i="88"/>
  <c r="J190" i="88"/>
  <c r="J189" i="88"/>
  <c r="J188" i="88"/>
  <c r="J187" i="88"/>
  <c r="J186" i="88"/>
  <c r="J184" i="88"/>
  <c r="J183" i="88"/>
  <c r="J182" i="88"/>
  <c r="J181" i="88"/>
  <c r="J180" i="88"/>
  <c r="J179" i="88"/>
  <c r="J178" i="88"/>
  <c r="J177" i="88"/>
  <c r="J176" i="88"/>
  <c r="J170" i="88"/>
  <c r="J168" i="88"/>
  <c r="J167" i="88"/>
  <c r="J166" i="88"/>
  <c r="J165" i="88"/>
  <c r="J164" i="88"/>
  <c r="J163" i="88"/>
  <c r="J156" i="88"/>
  <c r="J154" i="88"/>
  <c r="J153" i="88"/>
  <c r="J152" i="88"/>
  <c r="J151" i="88"/>
  <c r="J150" i="88"/>
  <c r="J149" i="88"/>
  <c r="J146" i="88"/>
  <c r="J145" i="88"/>
  <c r="J144" i="88"/>
  <c r="J143" i="88"/>
  <c r="J142" i="88"/>
  <c r="J141" i="88"/>
  <c r="J140" i="88"/>
  <c r="J139" i="88"/>
  <c r="J138" i="88"/>
  <c r="J137" i="88"/>
  <c r="J131" i="88"/>
  <c r="J130" i="88"/>
  <c r="J129" i="88"/>
  <c r="J128" i="88"/>
  <c r="J127" i="88"/>
  <c r="J126" i="88"/>
  <c r="J125" i="88"/>
  <c r="J124" i="88"/>
  <c r="J123" i="88"/>
  <c r="J122" i="88"/>
  <c r="J121" i="88"/>
  <c r="J120" i="88"/>
  <c r="J119" i="88"/>
  <c r="J117" i="88"/>
  <c r="J114" i="88"/>
  <c r="J113" i="88"/>
  <c r="J112" i="88"/>
  <c r="J111" i="88"/>
  <c r="J110" i="88"/>
  <c r="J109" i="88"/>
  <c r="J107" i="88"/>
  <c r="J106" i="88"/>
  <c r="J104" i="88"/>
  <c r="J103" i="88"/>
  <c r="J102" i="88"/>
  <c r="J100" i="88"/>
  <c r="J81" i="88"/>
  <c r="J79" i="88"/>
  <c r="J78" i="88"/>
  <c r="J77" i="88"/>
  <c r="J76" i="88"/>
  <c r="J73" i="88"/>
  <c r="J72" i="88"/>
  <c r="J70" i="88"/>
  <c r="J61" i="88"/>
  <c r="J60" i="88"/>
  <c r="J58" i="88"/>
  <c r="J57" i="88"/>
  <c r="J52" i="88"/>
  <c r="J51" i="88"/>
  <c r="J50" i="88"/>
  <c r="J48" i="88"/>
  <c r="J47" i="88"/>
  <c r="J45" i="88"/>
  <c r="J44" i="88"/>
  <c r="J42" i="88"/>
  <c r="J41" i="88"/>
  <c r="J36" i="88"/>
  <c r="J35" i="88"/>
  <c r="J33" i="88"/>
  <c r="J32" i="88"/>
  <c r="J27" i="88"/>
  <c r="J26" i="88"/>
  <c r="J15" i="88"/>
  <c r="J14" i="88"/>
  <c r="J13" i="88"/>
  <c r="J12" i="88"/>
  <c r="J11" i="88"/>
  <c r="J10" i="88"/>
  <c r="I199" i="88"/>
  <c r="I198" i="88"/>
  <c r="I197" i="88"/>
  <c r="I195" i="88"/>
  <c r="I193" i="88"/>
  <c r="I190" i="88"/>
  <c r="I189" i="88"/>
  <c r="I188" i="88"/>
  <c r="I187" i="88"/>
  <c r="I186" i="88"/>
  <c r="I184" i="88"/>
  <c r="I183" i="88"/>
  <c r="I182" i="88"/>
  <c r="I181" i="88"/>
  <c r="I180" i="88"/>
  <c r="I179" i="88"/>
  <c r="I178" i="88"/>
  <c r="I177" i="88"/>
  <c r="I176" i="88"/>
  <c r="I170" i="88"/>
  <c r="I168" i="88"/>
  <c r="I167" i="88"/>
  <c r="I166" i="88"/>
  <c r="I165" i="88"/>
  <c r="I164" i="88"/>
  <c r="I163" i="88"/>
  <c r="I156" i="88"/>
  <c r="I154" i="88"/>
  <c r="I153" i="88"/>
  <c r="I152" i="88"/>
  <c r="I151" i="88"/>
  <c r="I150" i="88"/>
  <c r="I149" i="88"/>
  <c r="I146" i="88"/>
  <c r="I144" i="88"/>
  <c r="I143" i="88"/>
  <c r="I142" i="88"/>
  <c r="I141" i="88"/>
  <c r="I140" i="88"/>
  <c r="I139" i="88"/>
  <c r="I138" i="88"/>
  <c r="I137" i="88"/>
  <c r="I131" i="88"/>
  <c r="I130" i="88"/>
  <c r="I129" i="88"/>
  <c r="I128" i="88"/>
  <c r="I127" i="88"/>
  <c r="I126" i="88"/>
  <c r="I125" i="88"/>
  <c r="I124" i="88"/>
  <c r="I123" i="88"/>
  <c r="I122" i="88"/>
  <c r="I121" i="88"/>
  <c r="I120" i="88"/>
  <c r="I119" i="88"/>
  <c r="I117" i="88"/>
  <c r="I114" i="88"/>
  <c r="I113" i="88"/>
  <c r="I112" i="88"/>
  <c r="I111" i="88"/>
  <c r="I110" i="88"/>
  <c r="I109" i="88"/>
  <c r="I107" i="88"/>
  <c r="I106" i="88"/>
  <c r="I105" i="88"/>
  <c r="I104" i="88"/>
  <c r="I103" i="88"/>
  <c r="I100" i="88"/>
  <c r="I81" i="88"/>
  <c r="I79" i="88"/>
  <c r="I78" i="88"/>
  <c r="I77" i="88"/>
  <c r="I76" i="88"/>
  <c r="I73" i="88"/>
  <c r="I72" i="88"/>
  <c r="I70" i="88"/>
  <c r="I61" i="88"/>
  <c r="I60" i="88"/>
  <c r="I58" i="88"/>
  <c r="I57" i="88"/>
  <c r="I52" i="88"/>
  <c r="I51" i="88"/>
  <c r="I50" i="88"/>
  <c r="I48" i="88"/>
  <c r="I47" i="88"/>
  <c r="I45" i="88"/>
  <c r="I44" i="88"/>
  <c r="I42" i="88"/>
  <c r="I41" i="88"/>
  <c r="I36" i="88"/>
  <c r="I35" i="88"/>
  <c r="I33" i="88"/>
  <c r="I32" i="88"/>
  <c r="I27" i="88"/>
  <c r="I26" i="88"/>
  <c r="I15" i="88"/>
  <c r="I14" i="88"/>
  <c r="I13" i="88"/>
  <c r="I10" i="88"/>
  <c r="F185" i="88"/>
  <c r="F162" i="88"/>
  <c r="F161" i="88"/>
  <c r="F175" i="88" s="1"/>
  <c r="F160" i="88"/>
  <c r="F174" i="88" s="1"/>
  <c r="F159" i="88"/>
  <c r="F173" i="88" s="1"/>
  <c r="F158" i="88"/>
  <c r="F172" i="88" s="1"/>
  <c r="F157" i="88"/>
  <c r="F171" i="88" s="1"/>
  <c r="F148" i="88"/>
  <c r="F147" i="88" s="1"/>
  <c r="F134" i="88"/>
  <c r="F136" i="88" s="1"/>
  <c r="F132" i="88"/>
  <c r="F116" i="88"/>
  <c r="F115" i="88"/>
  <c r="F108" i="88"/>
  <c r="F101" i="88"/>
  <c r="F80" i="88"/>
  <c r="F75" i="88"/>
  <c r="F74" i="88"/>
  <c r="F69" i="88"/>
  <c r="F62" i="88"/>
  <c r="F59" i="88"/>
  <c r="F54" i="88"/>
  <c r="F53" i="88"/>
  <c r="F49" i="88"/>
  <c r="F46" i="88"/>
  <c r="F43" i="88"/>
  <c r="F38" i="88"/>
  <c r="F37" i="88"/>
  <c r="F34" i="88"/>
  <c r="F29" i="88"/>
  <c r="F28" i="88"/>
  <c r="D197" i="88"/>
  <c r="H196" i="88"/>
  <c r="J196" i="88" s="1"/>
  <c r="G196" i="88"/>
  <c r="E196" i="88"/>
  <c r="E194" i="88"/>
  <c r="G192" i="88"/>
  <c r="G191" i="88"/>
  <c r="H185" i="88"/>
  <c r="G185" i="88"/>
  <c r="E185" i="88"/>
  <c r="D185" i="88"/>
  <c r="E175" i="88"/>
  <c r="D175" i="88"/>
  <c r="E174" i="88"/>
  <c r="D174" i="88"/>
  <c r="E173" i="88"/>
  <c r="D173" i="88"/>
  <c r="E172" i="88"/>
  <c r="D172" i="88"/>
  <c r="E171" i="88"/>
  <c r="D171" i="88"/>
  <c r="H162" i="88"/>
  <c r="G162" i="88"/>
  <c r="E162" i="88"/>
  <c r="D162" i="88"/>
  <c r="G161" i="88"/>
  <c r="H161" i="88" s="1"/>
  <c r="H175" i="88" s="1"/>
  <c r="G160" i="88"/>
  <c r="G174" i="88" s="1"/>
  <c r="G159" i="88"/>
  <c r="G158" i="88"/>
  <c r="G172" i="88" s="1"/>
  <c r="G157" i="88"/>
  <c r="H157" i="88" s="1"/>
  <c r="I157" i="88" s="1"/>
  <c r="E155" i="88"/>
  <c r="D155" i="88"/>
  <c r="H148" i="88"/>
  <c r="H147" i="88" s="1"/>
  <c r="G148" i="88"/>
  <c r="G147" i="88" s="1"/>
  <c r="E147" i="88"/>
  <c r="D147" i="88"/>
  <c r="G145" i="88"/>
  <c r="I145" i="88" s="1"/>
  <c r="E144" i="88"/>
  <c r="D141" i="88"/>
  <c r="D136" i="88"/>
  <c r="H134" i="88"/>
  <c r="G134" i="88"/>
  <c r="G136" i="88" s="1"/>
  <c r="E134" i="88"/>
  <c r="E136" i="88" s="1"/>
  <c r="H132" i="88"/>
  <c r="G132" i="88"/>
  <c r="G133" i="88" s="1"/>
  <c r="G194" i="88" s="1"/>
  <c r="E132" i="88"/>
  <c r="E116" i="88"/>
  <c r="H116" i="88" s="1"/>
  <c r="H115" i="88"/>
  <c r="G115" i="88"/>
  <c r="E115" i="88"/>
  <c r="H108" i="88"/>
  <c r="G108" i="88"/>
  <c r="E108" i="88"/>
  <c r="D108" i="88"/>
  <c r="H101" i="88"/>
  <c r="G101" i="88"/>
  <c r="E101" i="88"/>
  <c r="D101" i="88"/>
  <c r="I99" i="88"/>
  <c r="J98" i="88"/>
  <c r="H97" i="88"/>
  <c r="I97" i="88" s="1"/>
  <c r="H96" i="88"/>
  <c r="I95" i="88"/>
  <c r="G94" i="88"/>
  <c r="E94" i="88"/>
  <c r="D94" i="88"/>
  <c r="H80" i="88"/>
  <c r="G80" i="88"/>
  <c r="E80" i="88"/>
  <c r="D80" i="88"/>
  <c r="E75" i="88"/>
  <c r="H74" i="88"/>
  <c r="G74" i="88"/>
  <c r="E74" i="88"/>
  <c r="D74" i="88"/>
  <c r="E69" i="88"/>
  <c r="D68" i="88"/>
  <c r="I66" i="88"/>
  <c r="J65" i="88"/>
  <c r="I64" i="88"/>
  <c r="G63" i="88"/>
  <c r="E63" i="88"/>
  <c r="D63" i="88"/>
  <c r="H62" i="88"/>
  <c r="G62" i="88"/>
  <c r="E62" i="88"/>
  <c r="D62" i="88"/>
  <c r="H59" i="88"/>
  <c r="G59" i="88"/>
  <c r="G56" i="88" s="1"/>
  <c r="E59" i="88"/>
  <c r="D59" i="88"/>
  <c r="D56" i="88" s="1"/>
  <c r="H54" i="88"/>
  <c r="G54" i="88"/>
  <c r="E54" i="88"/>
  <c r="D54" i="88"/>
  <c r="H53" i="88"/>
  <c r="G53" i="88"/>
  <c r="E53" i="88"/>
  <c r="D53" i="88"/>
  <c r="H49" i="88"/>
  <c r="G49" i="88"/>
  <c r="E49" i="88"/>
  <c r="D48" i="88"/>
  <c r="H46" i="88"/>
  <c r="G46" i="88"/>
  <c r="E46" i="88"/>
  <c r="D46" i="88"/>
  <c r="H43" i="88"/>
  <c r="G43" i="88"/>
  <c r="G40" i="88" s="1"/>
  <c r="G21" i="88" s="1"/>
  <c r="E43" i="88"/>
  <c r="D43" i="88"/>
  <c r="H38" i="88"/>
  <c r="G38" i="88"/>
  <c r="G39" i="88" s="1"/>
  <c r="E38" i="88"/>
  <c r="D38" i="88"/>
  <c r="H37" i="88"/>
  <c r="G37" i="88"/>
  <c r="E37" i="88"/>
  <c r="D37" i="88"/>
  <c r="H34" i="88"/>
  <c r="G34" i="88"/>
  <c r="E34" i="88"/>
  <c r="D34" i="88"/>
  <c r="H29" i="88"/>
  <c r="G29" i="88"/>
  <c r="G23" i="88" s="1"/>
  <c r="G18" i="88" s="1"/>
  <c r="E29" i="88"/>
  <c r="E23" i="88" s="1"/>
  <c r="E18" i="88" s="1"/>
  <c r="D29" i="88"/>
  <c r="D23" i="88" s="1"/>
  <c r="H28" i="88"/>
  <c r="G28" i="88"/>
  <c r="E28" i="88"/>
  <c r="D28" i="88"/>
  <c r="D40" i="88" l="1"/>
  <c r="E40" i="88"/>
  <c r="F68" i="88"/>
  <c r="F67" i="88" s="1"/>
  <c r="I29" i="88"/>
  <c r="I37" i="88"/>
  <c r="I80" i="88"/>
  <c r="J134" i="88"/>
  <c r="H135" i="88"/>
  <c r="I185" i="88"/>
  <c r="H192" i="88"/>
  <c r="I192" i="88" s="1"/>
  <c r="J148" i="88"/>
  <c r="J96" i="88"/>
  <c r="H94" i="88"/>
  <c r="I28" i="88"/>
  <c r="I34" i="88"/>
  <c r="I43" i="88"/>
  <c r="I46" i="88"/>
  <c r="I49" i="88"/>
  <c r="I53" i="88"/>
  <c r="I54" i="88"/>
  <c r="I59" i="88"/>
  <c r="I62" i="88"/>
  <c r="I74" i="88"/>
  <c r="I101" i="88"/>
  <c r="I115" i="88"/>
  <c r="I133" i="88"/>
  <c r="I147" i="88"/>
  <c r="J29" i="88"/>
  <c r="J37" i="88"/>
  <c r="J80" i="88"/>
  <c r="J185" i="88"/>
  <c r="G31" i="88"/>
  <c r="G25" i="88" s="1"/>
  <c r="G20" i="88" s="1"/>
  <c r="G19" i="88" s="1"/>
  <c r="G22" i="88" s="1"/>
  <c r="J49" i="88"/>
  <c r="J74" i="88"/>
  <c r="I38" i="88"/>
  <c r="I134" i="88"/>
  <c r="J115" i="88"/>
  <c r="I108" i="88"/>
  <c r="G116" i="88"/>
  <c r="I116" i="88" s="1"/>
  <c r="J28" i="88"/>
  <c r="J38" i="88"/>
  <c r="J46" i="88"/>
  <c r="J53" i="88"/>
  <c r="J59" i="88"/>
  <c r="E17" i="88"/>
  <c r="J101" i="88"/>
  <c r="J62" i="88"/>
  <c r="J54" i="88"/>
  <c r="I162" i="88"/>
  <c r="F155" i="88"/>
  <c r="F169" i="88" s="1"/>
  <c r="J161" i="88"/>
  <c r="J108" i="88"/>
  <c r="I65" i="88"/>
  <c r="I132" i="88"/>
  <c r="J133" i="88"/>
  <c r="J132" i="88"/>
  <c r="J175" i="88"/>
  <c r="J157" i="88"/>
  <c r="I196" i="88"/>
  <c r="J162" i="88"/>
  <c r="I161" i="88"/>
  <c r="I148" i="88"/>
  <c r="J147" i="88"/>
  <c r="I96" i="88"/>
  <c r="D67" i="88"/>
  <c r="I98" i="88"/>
  <c r="J95" i="88"/>
  <c r="J97" i="88"/>
  <c r="J99" i="88"/>
  <c r="J64" i="88"/>
  <c r="J66" i="88"/>
  <c r="H63" i="88"/>
  <c r="F56" i="88"/>
  <c r="F40" i="88"/>
  <c r="J43" i="88"/>
  <c r="F31" i="88"/>
  <c r="F30" i="88" s="1"/>
  <c r="J34" i="88"/>
  <c r="F23" i="88"/>
  <c r="H56" i="88"/>
  <c r="I56" i="88" s="1"/>
  <c r="D18" i="88"/>
  <c r="H160" i="88"/>
  <c r="H174" i="88" s="1"/>
  <c r="D55" i="88"/>
  <c r="G55" i="88"/>
  <c r="H69" i="88"/>
  <c r="J69" i="88" s="1"/>
  <c r="G69" i="88"/>
  <c r="E68" i="88"/>
  <c r="E67" i="88" s="1"/>
  <c r="H159" i="88"/>
  <c r="G173" i="88"/>
  <c r="H23" i="88"/>
  <c r="I23" i="88" s="1"/>
  <c r="H75" i="88"/>
  <c r="G75" i="88"/>
  <c r="H194" i="88"/>
  <c r="D169" i="88"/>
  <c r="G155" i="88"/>
  <c r="G169" i="88" s="1"/>
  <c r="D31" i="88"/>
  <c r="D30" i="88" s="1"/>
  <c r="D39" i="88"/>
  <c r="E56" i="88"/>
  <c r="E55" i="88" s="1"/>
  <c r="E169" i="88"/>
  <c r="D21" i="88"/>
  <c r="D17" i="88"/>
  <c r="G17" i="88"/>
  <c r="E31" i="88"/>
  <c r="E30" i="88" s="1"/>
  <c r="H31" i="88"/>
  <c r="H40" i="88"/>
  <c r="I40" i="88" s="1"/>
  <c r="H158" i="88"/>
  <c r="H191" i="88"/>
  <c r="G24" i="88"/>
  <c r="E39" i="88"/>
  <c r="E21" i="88"/>
  <c r="H171" i="88"/>
  <c r="G171" i="88"/>
  <c r="G175" i="88"/>
  <c r="I175" i="88" s="1"/>
  <c r="H39" i="88" l="1"/>
  <c r="I39" i="88" s="1"/>
  <c r="J192" i="88"/>
  <c r="J135" i="88"/>
  <c r="I135" i="88"/>
  <c r="G30" i="88"/>
  <c r="I31" i="88"/>
  <c r="J191" i="88"/>
  <c r="I191" i="88"/>
  <c r="D25" i="88"/>
  <c r="I75" i="88"/>
  <c r="I69" i="88"/>
  <c r="J40" i="88"/>
  <c r="E16" i="88"/>
  <c r="F21" i="88"/>
  <c r="D16" i="88"/>
  <c r="H55" i="88"/>
  <c r="I55" i="88" s="1"/>
  <c r="J116" i="88"/>
  <c r="J75" i="88"/>
  <c r="I194" i="88"/>
  <c r="J194" i="88"/>
  <c r="J174" i="88"/>
  <c r="I174" i="88"/>
  <c r="I159" i="88"/>
  <c r="J159" i="88"/>
  <c r="I171" i="88"/>
  <c r="J171" i="88"/>
  <c r="H173" i="88"/>
  <c r="J158" i="88"/>
  <c r="I158" i="88"/>
  <c r="J160" i="88"/>
  <c r="I160" i="88"/>
  <c r="J94" i="88"/>
  <c r="I94" i="88"/>
  <c r="J63" i="88"/>
  <c r="I63" i="88"/>
  <c r="F55" i="88"/>
  <c r="J56" i="88"/>
  <c r="F39" i="88"/>
  <c r="J39" i="88" s="1"/>
  <c r="J31" i="88"/>
  <c r="F25" i="88"/>
  <c r="F20" i="88" s="1"/>
  <c r="F18" i="88"/>
  <c r="J23" i="88"/>
  <c r="H136" i="88"/>
  <c r="G68" i="88"/>
  <c r="G67" i="88" s="1"/>
  <c r="G16" i="88" s="1"/>
  <c r="H30" i="88"/>
  <c r="I30" i="88" s="1"/>
  <c r="H68" i="88"/>
  <c r="H172" i="88"/>
  <c r="H21" i="88"/>
  <c r="I21" i="88" s="1"/>
  <c r="H18" i="88"/>
  <c r="E25" i="88"/>
  <c r="H155" i="88"/>
  <c r="H25" i="88"/>
  <c r="I25" i="88" s="1"/>
  <c r="D24" i="88"/>
  <c r="D20" i="88"/>
  <c r="D19" i="88" s="1"/>
  <c r="D22" i="88" s="1"/>
  <c r="I18" i="88" l="1"/>
  <c r="H17" i="88"/>
  <c r="I17" i="88" s="1"/>
  <c r="J30" i="88"/>
  <c r="J21" i="88"/>
  <c r="F19" i="88"/>
  <c r="J55" i="88"/>
  <c r="I68" i="88"/>
  <c r="J68" i="88"/>
  <c r="I136" i="88"/>
  <c r="J136" i="88"/>
  <c r="J172" i="88"/>
  <c r="I172" i="88"/>
  <c r="I155" i="88"/>
  <c r="J155" i="88"/>
  <c r="I173" i="88"/>
  <c r="J173" i="88"/>
  <c r="F24" i="88"/>
  <c r="J25" i="88"/>
  <c r="F17" i="88"/>
  <c r="J18" i="88"/>
  <c r="F22" i="88"/>
  <c r="H67" i="88"/>
  <c r="H169" i="88"/>
  <c r="E24" i="88"/>
  <c r="E20" i="88"/>
  <c r="E19" i="88" s="1"/>
  <c r="E22" i="88" s="1"/>
  <c r="H24" i="88"/>
  <c r="I24" i="88" s="1"/>
  <c r="H20" i="88"/>
  <c r="I20" i="88" s="1"/>
  <c r="J27" i="78"/>
  <c r="H27" i="78"/>
  <c r="J26" i="78"/>
  <c r="H26" i="78"/>
  <c r="G25" i="78"/>
  <c r="J25" i="78" s="1"/>
  <c r="E25" i="78"/>
  <c r="J24" i="78"/>
  <c r="H24" i="78"/>
  <c r="J23" i="78"/>
  <c r="H23" i="78"/>
  <c r="J22" i="78"/>
  <c r="H22" i="78"/>
  <c r="J21" i="78"/>
  <c r="H21" i="78"/>
  <c r="I20" i="78"/>
  <c r="F20" i="78"/>
  <c r="F19" i="78" s="1"/>
  <c r="E20" i="78"/>
  <c r="E19" i="78" s="1"/>
  <c r="D20" i="78"/>
  <c r="D19" i="78"/>
  <c r="J18" i="78"/>
  <c r="H18" i="78"/>
  <c r="J17" i="78"/>
  <c r="H17" i="78"/>
  <c r="J16" i="78"/>
  <c r="H16" i="78"/>
  <c r="J15" i="78"/>
  <c r="H15" i="78"/>
  <c r="J13" i="78"/>
  <c r="H13" i="78"/>
  <c r="I12" i="78"/>
  <c r="J12" i="78" s="1"/>
  <c r="D12" i="78"/>
  <c r="H12" i="78" s="1"/>
  <c r="J11" i="78"/>
  <c r="H11" i="78"/>
  <c r="J10" i="78"/>
  <c r="H10" i="78"/>
  <c r="J9" i="78"/>
  <c r="H9" i="78"/>
  <c r="G20" i="78" l="1"/>
  <c r="H20" i="78" s="1"/>
  <c r="H25" i="78"/>
  <c r="J24" i="88"/>
  <c r="J20" i="88"/>
  <c r="I169" i="88"/>
  <c r="J169" i="88"/>
  <c r="I67" i="88"/>
  <c r="J67" i="88"/>
  <c r="J17" i="88"/>
  <c r="F16" i="88"/>
  <c r="H19" i="88"/>
  <c r="H16" i="88"/>
  <c r="I16" i="88" s="1"/>
  <c r="I19" i="78"/>
  <c r="G19" i="78" l="1"/>
  <c r="H19" i="78" s="1"/>
  <c r="J20" i="78"/>
  <c r="I19" i="88"/>
  <c r="J19" i="88"/>
  <c r="J16" i="88"/>
  <c r="H22" i="88"/>
  <c r="J19" i="78" l="1"/>
  <c r="I22" i="88"/>
  <c r="J22" i="88"/>
  <c r="H196" i="85" l="1"/>
  <c r="H195" i="85"/>
  <c r="H194" i="85"/>
  <c r="F193" i="85"/>
  <c r="H193" i="85" s="1"/>
  <c r="E193" i="85"/>
  <c r="D193" i="85"/>
  <c r="H192" i="85"/>
  <c r="F191" i="85"/>
  <c r="H191" i="85" s="1"/>
  <c r="E191" i="85"/>
  <c r="H190" i="85"/>
  <c r="H189" i="85"/>
  <c r="F188" i="85"/>
  <c r="H188" i="85" s="1"/>
  <c r="F187" i="85"/>
  <c r="H187" i="85" s="1"/>
  <c r="H186" i="85"/>
  <c r="H185" i="85"/>
  <c r="H184" i="85"/>
  <c r="H183" i="85"/>
  <c r="H182" i="85"/>
  <c r="G181" i="85"/>
  <c r="F181" i="85"/>
  <c r="E181" i="85"/>
  <c r="D181" i="85"/>
  <c r="H180" i="85"/>
  <c r="H179" i="85"/>
  <c r="H178" i="85"/>
  <c r="E177" i="85"/>
  <c r="D177" i="85"/>
  <c r="E176" i="85"/>
  <c r="D176" i="85"/>
  <c r="E175" i="85"/>
  <c r="D175" i="85"/>
  <c r="E174" i="85"/>
  <c r="D174" i="85"/>
  <c r="E173" i="85"/>
  <c r="D173" i="85"/>
  <c r="H172" i="85"/>
  <c r="H170" i="85"/>
  <c r="H169" i="85"/>
  <c r="H168" i="85"/>
  <c r="H167" i="85"/>
  <c r="H166" i="85"/>
  <c r="H165" i="85"/>
  <c r="G164" i="85"/>
  <c r="F164" i="85"/>
  <c r="E164" i="85"/>
  <c r="D164" i="85"/>
  <c r="G163" i="85"/>
  <c r="G177" i="85" s="1"/>
  <c r="F163" i="85"/>
  <c r="F177" i="85" s="1"/>
  <c r="G162" i="85"/>
  <c r="G176" i="85" s="1"/>
  <c r="F162" i="85"/>
  <c r="G161" i="85"/>
  <c r="G175" i="85" s="1"/>
  <c r="F161" i="85"/>
  <c r="F175" i="85" s="1"/>
  <c r="G160" i="85"/>
  <c r="G174" i="85" s="1"/>
  <c r="F160" i="85"/>
  <c r="G159" i="85"/>
  <c r="G173" i="85" s="1"/>
  <c r="F159" i="85"/>
  <c r="F173" i="85" s="1"/>
  <c r="H158" i="85"/>
  <c r="E157" i="85"/>
  <c r="D157" i="85"/>
  <c r="H156" i="85"/>
  <c r="H155" i="85"/>
  <c r="H153" i="85"/>
  <c r="H152" i="85"/>
  <c r="H151" i="85"/>
  <c r="H150" i="85"/>
  <c r="H149" i="85"/>
  <c r="H148" i="85"/>
  <c r="G147" i="85"/>
  <c r="F147" i="85"/>
  <c r="F146" i="85" s="1"/>
  <c r="E146" i="85"/>
  <c r="D146" i="85"/>
  <c r="H145" i="85"/>
  <c r="F144" i="85"/>
  <c r="H144" i="85" s="1"/>
  <c r="H143" i="85"/>
  <c r="E143" i="85"/>
  <c r="H142" i="85"/>
  <c r="H141" i="85"/>
  <c r="H140" i="85"/>
  <c r="D140" i="85"/>
  <c r="H139" i="85"/>
  <c r="H138" i="85"/>
  <c r="H137" i="85"/>
  <c r="H136" i="85"/>
  <c r="D135" i="85"/>
  <c r="H134" i="85"/>
  <c r="F133" i="85"/>
  <c r="H133" i="85" s="1"/>
  <c r="E133" i="85"/>
  <c r="E135" i="85" s="1"/>
  <c r="H132" i="85"/>
  <c r="F131" i="85"/>
  <c r="H131" i="85" s="1"/>
  <c r="E131" i="85"/>
  <c r="H130" i="85"/>
  <c r="H129" i="85"/>
  <c r="H128" i="85"/>
  <c r="H127" i="85"/>
  <c r="H126" i="85"/>
  <c r="H125" i="85"/>
  <c r="H123" i="85"/>
  <c r="H122" i="85"/>
  <c r="H121" i="85"/>
  <c r="H120" i="85"/>
  <c r="H119" i="85"/>
  <c r="H118" i="85"/>
  <c r="H117" i="85"/>
  <c r="H116" i="85"/>
  <c r="H115" i="85"/>
  <c r="H114" i="85"/>
  <c r="H113" i="85"/>
  <c r="H111" i="85"/>
  <c r="E110" i="85"/>
  <c r="G110" i="85" s="1"/>
  <c r="H109" i="85"/>
  <c r="H108" i="85"/>
  <c r="H107" i="85"/>
  <c r="H106" i="85"/>
  <c r="H105" i="85"/>
  <c r="G104" i="85"/>
  <c r="F104" i="85"/>
  <c r="E104" i="85"/>
  <c r="D104" i="85"/>
  <c r="H103" i="85"/>
  <c r="H102" i="85"/>
  <c r="H101" i="85"/>
  <c r="H100" i="85"/>
  <c r="H99" i="85"/>
  <c r="H98" i="85"/>
  <c r="G97" i="85"/>
  <c r="F97" i="85"/>
  <c r="E97" i="85"/>
  <c r="D97" i="85"/>
  <c r="H96" i="85"/>
  <c r="H94" i="85"/>
  <c r="H93" i="85"/>
  <c r="H92" i="85"/>
  <c r="H91" i="85"/>
  <c r="H90" i="85"/>
  <c r="F89" i="85"/>
  <c r="H89" i="85" s="1"/>
  <c r="E89" i="85"/>
  <c r="D89" i="85"/>
  <c r="H88" i="85"/>
  <c r="G83" i="85"/>
  <c r="F83" i="85"/>
  <c r="E83" i="85"/>
  <c r="D83" i="85"/>
  <c r="H82" i="85"/>
  <c r="H81" i="85"/>
  <c r="H80" i="85"/>
  <c r="H79" i="85"/>
  <c r="E78" i="85"/>
  <c r="F78" i="85" s="1"/>
  <c r="G77" i="85"/>
  <c r="F77" i="85"/>
  <c r="E77" i="85"/>
  <c r="D77" i="85"/>
  <c r="H76" i="85"/>
  <c r="H75" i="85"/>
  <c r="H73" i="85"/>
  <c r="E72" i="85"/>
  <c r="G72" i="85" s="1"/>
  <c r="D71" i="85"/>
  <c r="D70" i="85" s="1"/>
  <c r="H69" i="85"/>
  <c r="H68" i="85"/>
  <c r="H67" i="85"/>
  <c r="H66" i="85"/>
  <c r="F65" i="85"/>
  <c r="H65" i="85" s="1"/>
  <c r="E65" i="85"/>
  <c r="D65" i="85"/>
  <c r="G64" i="85"/>
  <c r="F64" i="85"/>
  <c r="E64" i="85"/>
  <c r="D64" i="85"/>
  <c r="H63" i="85"/>
  <c r="H62" i="85"/>
  <c r="G61" i="85"/>
  <c r="G58" i="85" s="1"/>
  <c r="G57" i="85" s="1"/>
  <c r="F61" i="85"/>
  <c r="E61" i="85"/>
  <c r="D61" i="85"/>
  <c r="H60" i="85"/>
  <c r="H59" i="85"/>
  <c r="D58" i="85"/>
  <c r="G56" i="85"/>
  <c r="F56" i="85"/>
  <c r="E56" i="85"/>
  <c r="D56" i="85"/>
  <c r="G55" i="85"/>
  <c r="F55" i="85"/>
  <c r="E55" i="85"/>
  <c r="D55" i="85"/>
  <c r="H54" i="85"/>
  <c r="H53" i="85"/>
  <c r="H52" i="85"/>
  <c r="G51" i="85"/>
  <c r="F51" i="85"/>
  <c r="E51" i="85"/>
  <c r="H50" i="85"/>
  <c r="D50" i="85"/>
  <c r="H49" i="85"/>
  <c r="G48" i="85"/>
  <c r="F48" i="85"/>
  <c r="E48" i="85"/>
  <c r="D48" i="85"/>
  <c r="H47" i="85"/>
  <c r="H46" i="85"/>
  <c r="G45" i="85"/>
  <c r="F45" i="85"/>
  <c r="E45" i="85"/>
  <c r="E42" i="85" s="1"/>
  <c r="E23" i="85" s="1"/>
  <c r="D45" i="85"/>
  <c r="H44" i="85"/>
  <c r="H43" i="85"/>
  <c r="G40" i="85"/>
  <c r="F40" i="85"/>
  <c r="E40" i="85"/>
  <c r="D40" i="85"/>
  <c r="G39" i="85"/>
  <c r="F39" i="85"/>
  <c r="E39" i="85"/>
  <c r="D39" i="85"/>
  <c r="H38" i="85"/>
  <c r="H37" i="85"/>
  <c r="G36" i="85"/>
  <c r="F36" i="85"/>
  <c r="E36" i="85"/>
  <c r="D36" i="85"/>
  <c r="H35" i="85"/>
  <c r="H34" i="85"/>
  <c r="G31" i="85"/>
  <c r="G25" i="85" s="1"/>
  <c r="F31" i="85"/>
  <c r="F19" i="85" s="1"/>
  <c r="E31" i="85"/>
  <c r="E25" i="85" s="1"/>
  <c r="E20" i="85" s="1"/>
  <c r="D31" i="85"/>
  <c r="G30" i="85"/>
  <c r="F30" i="85"/>
  <c r="E30" i="85"/>
  <c r="D30" i="85"/>
  <c r="H29" i="85"/>
  <c r="H28" i="85"/>
  <c r="D25" i="85"/>
  <c r="D20" i="85" s="1"/>
  <c r="G18" i="85"/>
  <c r="F18" i="85"/>
  <c r="H15" i="85"/>
  <c r="H14" i="85"/>
  <c r="H13" i="85"/>
  <c r="H12" i="85"/>
  <c r="H11" i="85"/>
  <c r="H10" i="85"/>
  <c r="G20" i="85" l="1"/>
  <c r="D42" i="85"/>
  <c r="E58" i="85"/>
  <c r="G17" i="85"/>
  <c r="F42" i="85"/>
  <c r="F41" i="85" s="1"/>
  <c r="E17" i="85"/>
  <c r="E16" i="85" s="1"/>
  <c r="F58" i="85"/>
  <c r="D33" i="85"/>
  <c r="D32" i="85" s="1"/>
  <c r="G42" i="85"/>
  <c r="G23" i="85" s="1"/>
  <c r="H55" i="85"/>
  <c r="H56" i="85"/>
  <c r="E57" i="85"/>
  <c r="H64" i="85"/>
  <c r="E33" i="85"/>
  <c r="E27" i="85" s="1"/>
  <c r="E41" i="85"/>
  <c r="H18" i="85"/>
  <c r="G19" i="85"/>
  <c r="H19" i="85" s="1"/>
  <c r="D41" i="85"/>
  <c r="H48" i="85"/>
  <c r="H83" i="85"/>
  <c r="H147" i="85"/>
  <c r="E171" i="85"/>
  <c r="H160" i="85"/>
  <c r="H162" i="85"/>
  <c r="H164" i="85"/>
  <c r="F25" i="85"/>
  <c r="F20" i="85" s="1"/>
  <c r="G33" i="85"/>
  <c r="G27" i="85" s="1"/>
  <c r="G26" i="85" s="1"/>
  <c r="G41" i="85"/>
  <c r="H77" i="85"/>
  <c r="F110" i="85"/>
  <c r="H110" i="85" s="1"/>
  <c r="F135" i="85"/>
  <c r="H135" i="85" s="1"/>
  <c r="G146" i="85"/>
  <c r="H146" i="85" s="1"/>
  <c r="H173" i="85"/>
  <c r="F33" i="85"/>
  <c r="F32" i="85" s="1"/>
  <c r="H45" i="85"/>
  <c r="F157" i="85"/>
  <c r="F171" i="85" s="1"/>
  <c r="D171" i="85"/>
  <c r="H181" i="85"/>
  <c r="D27" i="85"/>
  <c r="H175" i="85"/>
  <c r="H177" i="85"/>
  <c r="E26" i="85"/>
  <c r="E32" i="85"/>
  <c r="H36" i="85"/>
  <c r="E71" i="85"/>
  <c r="E70" i="85" s="1"/>
  <c r="G157" i="85"/>
  <c r="H159" i="85"/>
  <c r="H161" i="85"/>
  <c r="H163" i="85"/>
  <c r="F174" i="85"/>
  <c r="H174" i="85" s="1"/>
  <c r="F176" i="85"/>
  <c r="H176" i="85" s="1"/>
  <c r="H30" i="85"/>
  <c r="G78" i="85"/>
  <c r="H78" i="85" s="1"/>
  <c r="D17" i="85"/>
  <c r="D16" i="85" s="1"/>
  <c r="F17" i="85"/>
  <c r="H17" i="85" s="1"/>
  <c r="H31" i="85"/>
  <c r="H51" i="85"/>
  <c r="D57" i="85"/>
  <c r="F57" i="85"/>
  <c r="H57" i="85" s="1"/>
  <c r="H61" i="85"/>
  <c r="F72" i="85"/>
  <c r="F71" i="85" s="1"/>
  <c r="F70" i="85" s="1"/>
  <c r="H97" i="85"/>
  <c r="H104" i="85"/>
  <c r="H40" i="85"/>
  <c r="H33" i="85"/>
  <c r="H39" i="85"/>
  <c r="H25" i="85"/>
  <c r="H20" i="85"/>
  <c r="H42" i="85"/>
  <c r="H58" i="85"/>
  <c r="E22" i="85"/>
  <c r="E21" i="85" s="1"/>
  <c r="E24" i="85" s="1"/>
  <c r="D23" i="85"/>
  <c r="F23" i="85"/>
  <c r="G32" i="85"/>
  <c r="H32" i="85" s="1"/>
  <c r="H157" i="85" l="1"/>
  <c r="G171" i="85"/>
  <c r="H171" i="85" s="1"/>
  <c r="H23" i="85"/>
  <c r="G71" i="85"/>
  <c r="G70" i="85" s="1"/>
  <c r="H41" i="85"/>
  <c r="F27" i="85"/>
  <c r="H27" i="85" s="1"/>
  <c r="G22" i="85"/>
  <c r="G21" i="85" s="1"/>
  <c r="H72" i="85"/>
  <c r="F16" i="85"/>
  <c r="D26" i="85"/>
  <c r="D22" i="85"/>
  <c r="D21" i="85" s="1"/>
  <c r="D24" i="85" s="1"/>
  <c r="H71" i="85"/>
  <c r="F22" i="85" l="1"/>
  <c r="F21" i="85" s="1"/>
  <c r="F24" i="85" s="1"/>
  <c r="F26" i="85"/>
  <c r="H26" i="85" s="1"/>
  <c r="G24" i="85"/>
  <c r="H70" i="85"/>
  <c r="G16" i="85"/>
  <c r="H16" i="85" s="1"/>
  <c r="H21" i="85" l="1"/>
  <c r="H22" i="85"/>
  <c r="H24" i="85"/>
  <c r="H191" i="84"/>
  <c r="H190" i="84"/>
  <c r="H189" i="84"/>
  <c r="F188" i="84"/>
  <c r="H188" i="84" s="1"/>
  <c r="E188" i="84"/>
  <c r="D188" i="84"/>
  <c r="H187" i="84"/>
  <c r="F186" i="84"/>
  <c r="H186" i="84" s="1"/>
  <c r="E186" i="84"/>
  <c r="H185" i="84"/>
  <c r="H184" i="84"/>
  <c r="F183" i="84"/>
  <c r="H183" i="84" s="1"/>
  <c r="F182" i="84"/>
  <c r="H182" i="84" s="1"/>
  <c r="H181" i="84"/>
  <c r="H180" i="84"/>
  <c r="H179" i="84"/>
  <c r="H178" i="84"/>
  <c r="H177" i="84"/>
  <c r="G176" i="84"/>
  <c r="F176" i="84"/>
  <c r="E176" i="84"/>
  <c r="D176" i="84"/>
  <c r="H175" i="84"/>
  <c r="H174" i="84"/>
  <c r="H173" i="84"/>
  <c r="E172" i="84"/>
  <c r="D172" i="84"/>
  <c r="E171" i="84"/>
  <c r="D171" i="84"/>
  <c r="E170" i="84"/>
  <c r="D170" i="84"/>
  <c r="E169" i="84"/>
  <c r="D169" i="84"/>
  <c r="E168" i="84"/>
  <c r="D168" i="84"/>
  <c r="H167" i="84"/>
  <c r="H165" i="84"/>
  <c r="H164" i="84"/>
  <c r="H163" i="84"/>
  <c r="H162" i="84"/>
  <c r="H161" i="84"/>
  <c r="H160" i="84"/>
  <c r="G159" i="84"/>
  <c r="F159" i="84"/>
  <c r="E159" i="84"/>
  <c r="D159" i="84"/>
  <c r="G158" i="84"/>
  <c r="F158" i="84"/>
  <c r="F172" i="84" s="1"/>
  <c r="G157" i="84"/>
  <c r="G171" i="84" s="1"/>
  <c r="F157" i="84"/>
  <c r="F171" i="84" s="1"/>
  <c r="G156" i="84"/>
  <c r="F156" i="84"/>
  <c r="F170" i="84" s="1"/>
  <c r="G155" i="84"/>
  <c r="G169" i="84" s="1"/>
  <c r="F155" i="84"/>
  <c r="F169" i="84" s="1"/>
  <c r="G154" i="84"/>
  <c r="F154" i="84"/>
  <c r="F168" i="84" s="1"/>
  <c r="H153" i="84"/>
  <c r="E152" i="84"/>
  <c r="D152" i="84"/>
  <c r="H151" i="84"/>
  <c r="H150" i="84"/>
  <c r="H148" i="84"/>
  <c r="H147" i="84"/>
  <c r="H146" i="84"/>
  <c r="H145" i="84"/>
  <c r="H144" i="84"/>
  <c r="H143" i="84"/>
  <c r="G142" i="84"/>
  <c r="G141" i="84" s="1"/>
  <c r="F142" i="84"/>
  <c r="F141" i="84" s="1"/>
  <c r="E141" i="84"/>
  <c r="D141" i="84"/>
  <c r="H140" i="84"/>
  <c r="F139" i="84"/>
  <c r="H139" i="84" s="1"/>
  <c r="H138" i="84"/>
  <c r="E138" i="84"/>
  <c r="H137" i="84"/>
  <c r="H136" i="84"/>
  <c r="H135" i="84"/>
  <c r="D135" i="84"/>
  <c r="H134" i="84"/>
  <c r="H133" i="84"/>
  <c r="H132" i="84"/>
  <c r="H131" i="84"/>
  <c r="D130" i="84"/>
  <c r="H129" i="84"/>
  <c r="F128" i="84"/>
  <c r="F130" i="84" s="1"/>
  <c r="H130" i="84" s="1"/>
  <c r="E128" i="84"/>
  <c r="E130" i="84" s="1"/>
  <c r="H127" i="84"/>
  <c r="F126" i="84"/>
  <c r="H126" i="84" s="1"/>
  <c r="E126" i="84"/>
  <c r="H125" i="84"/>
  <c r="H124" i="84"/>
  <c r="H123" i="84"/>
  <c r="H122" i="84"/>
  <c r="H121" i="84"/>
  <c r="H120" i="84"/>
  <c r="H118" i="84"/>
  <c r="H117" i="84"/>
  <c r="H116" i="84"/>
  <c r="H115" i="84"/>
  <c r="H114" i="84"/>
  <c r="H113" i="84"/>
  <c r="H112" i="84"/>
  <c r="H111" i="84"/>
  <c r="H110" i="84"/>
  <c r="H109" i="84"/>
  <c r="H108" i="84"/>
  <c r="H107" i="84"/>
  <c r="E106" i="84"/>
  <c r="G106" i="84" s="1"/>
  <c r="H105" i="84"/>
  <c r="H104" i="84"/>
  <c r="H103" i="84"/>
  <c r="H102" i="84"/>
  <c r="H101" i="84"/>
  <c r="G100" i="84"/>
  <c r="F100" i="84"/>
  <c r="E100" i="84"/>
  <c r="D100" i="84"/>
  <c r="H99" i="84"/>
  <c r="H98" i="84"/>
  <c r="H97" i="84"/>
  <c r="H96" i="84"/>
  <c r="H95" i="84"/>
  <c r="H94" i="84"/>
  <c r="G93" i="84"/>
  <c r="F93" i="84"/>
  <c r="E93" i="84"/>
  <c r="D93" i="84"/>
  <c r="H92" i="84"/>
  <c r="H90" i="84"/>
  <c r="H89" i="84"/>
  <c r="H88" i="84"/>
  <c r="H87" i="84"/>
  <c r="H86" i="84"/>
  <c r="F85" i="84"/>
  <c r="H85" i="84" s="1"/>
  <c r="E85" i="84"/>
  <c r="D85" i="84"/>
  <c r="H84" i="84"/>
  <c r="G83" i="84"/>
  <c r="F83" i="84"/>
  <c r="E83" i="84"/>
  <c r="D83" i="84"/>
  <c r="H82" i="84"/>
  <c r="H81" i="84"/>
  <c r="H80" i="84"/>
  <c r="H79" i="84"/>
  <c r="E78" i="84"/>
  <c r="G78" i="84" s="1"/>
  <c r="G77" i="84"/>
  <c r="F77" i="84"/>
  <c r="E77" i="84"/>
  <c r="D77" i="84"/>
  <c r="H76" i="84"/>
  <c r="H75" i="84"/>
  <c r="H73" i="84"/>
  <c r="E72" i="84"/>
  <c r="D71" i="84"/>
  <c r="H69" i="84"/>
  <c r="H68" i="84"/>
  <c r="H67" i="84"/>
  <c r="H66" i="84"/>
  <c r="F65" i="84"/>
  <c r="H65" i="84" s="1"/>
  <c r="E65" i="84"/>
  <c r="D65" i="84"/>
  <c r="G64" i="84"/>
  <c r="F64" i="84"/>
  <c r="E64" i="84"/>
  <c r="D64" i="84"/>
  <c r="H63" i="84"/>
  <c r="H62" i="84"/>
  <c r="G61" i="84"/>
  <c r="F61" i="84"/>
  <c r="E61" i="84"/>
  <c r="D61" i="84"/>
  <c r="H60" i="84"/>
  <c r="H59" i="84"/>
  <c r="G56" i="84"/>
  <c r="F56" i="84"/>
  <c r="E56" i="84"/>
  <c r="D56" i="84"/>
  <c r="G55" i="84"/>
  <c r="H55" i="84" s="1"/>
  <c r="F55" i="84"/>
  <c r="E55" i="84"/>
  <c r="D55" i="84"/>
  <c r="H54" i="84"/>
  <c r="H53" i="84"/>
  <c r="H52" i="84"/>
  <c r="G51" i="84"/>
  <c r="F51" i="84"/>
  <c r="E51" i="84"/>
  <c r="H50" i="84"/>
  <c r="D50" i="84"/>
  <c r="H49" i="84"/>
  <c r="G48" i="84"/>
  <c r="F48" i="84"/>
  <c r="E48" i="84"/>
  <c r="D48" i="84"/>
  <c r="H47" i="84"/>
  <c r="H46" i="84"/>
  <c r="G45" i="84"/>
  <c r="F45" i="84"/>
  <c r="E45" i="84"/>
  <c r="D45" i="84"/>
  <c r="H44" i="84"/>
  <c r="H43" i="84"/>
  <c r="G40" i="84"/>
  <c r="F40" i="84"/>
  <c r="E40" i="84"/>
  <c r="D40" i="84"/>
  <c r="G39" i="84"/>
  <c r="F39" i="84"/>
  <c r="E39" i="84"/>
  <c r="D39" i="84"/>
  <c r="H38" i="84"/>
  <c r="H37" i="84"/>
  <c r="G36" i="84"/>
  <c r="G33" i="84" s="1"/>
  <c r="F36" i="84"/>
  <c r="E36" i="84"/>
  <c r="D36" i="84"/>
  <c r="H35" i="84"/>
  <c r="H34" i="84"/>
  <c r="G31" i="84"/>
  <c r="G19" i="84" s="1"/>
  <c r="F31" i="84"/>
  <c r="F25" i="84" s="1"/>
  <c r="F20" i="84" s="1"/>
  <c r="E31" i="84"/>
  <c r="E25" i="84" s="1"/>
  <c r="E20" i="84" s="1"/>
  <c r="D31" i="84"/>
  <c r="D25" i="84" s="1"/>
  <c r="D20" i="84" s="1"/>
  <c r="D17" i="84" s="1"/>
  <c r="G30" i="84"/>
  <c r="F30" i="84"/>
  <c r="E30" i="84"/>
  <c r="D30" i="84"/>
  <c r="H29" i="84"/>
  <c r="H28" i="84"/>
  <c r="G25" i="84"/>
  <c r="G18" i="84"/>
  <c r="F18" i="84"/>
  <c r="H15" i="84"/>
  <c r="H14" i="84"/>
  <c r="H13" i="84"/>
  <c r="H12" i="84"/>
  <c r="H11" i="84"/>
  <c r="H10" i="84"/>
  <c r="D70" i="84" l="1"/>
  <c r="F17" i="84"/>
  <c r="F33" i="84"/>
  <c r="F27" i="84" s="1"/>
  <c r="F42" i="84"/>
  <c r="F41" i="84" s="1"/>
  <c r="E58" i="84"/>
  <c r="E57" i="84" s="1"/>
  <c r="G27" i="84"/>
  <c r="G22" i="84" s="1"/>
  <c r="F19" i="84"/>
  <c r="H19" i="84" s="1"/>
  <c r="D42" i="84"/>
  <c r="D41" i="84" s="1"/>
  <c r="E33" i="84"/>
  <c r="E32" i="84" s="1"/>
  <c r="D58" i="84"/>
  <c r="D57" i="84" s="1"/>
  <c r="F152" i="84"/>
  <c r="F166" i="84" s="1"/>
  <c r="H61" i="84"/>
  <c r="F58" i="84"/>
  <c r="F57" i="84" s="1"/>
  <c r="H100" i="84"/>
  <c r="D33" i="84"/>
  <c r="D27" i="84" s="1"/>
  <c r="E42" i="84"/>
  <c r="E23" i="84" s="1"/>
  <c r="F78" i="84"/>
  <c r="H78" i="84" s="1"/>
  <c r="F72" i="84"/>
  <c r="G72" i="84"/>
  <c r="H77" i="84"/>
  <c r="H83" i="84"/>
  <c r="E166" i="84"/>
  <c r="H176" i="84"/>
  <c r="F106" i="84"/>
  <c r="H106" i="84" s="1"/>
  <c r="H93" i="84"/>
  <c r="H18" i="84"/>
  <c r="H40" i="84"/>
  <c r="H48" i="84"/>
  <c r="D16" i="84"/>
  <c r="D166" i="84"/>
  <c r="E17" i="84"/>
  <c r="H25" i="84"/>
  <c r="H31" i="84"/>
  <c r="H39" i="84"/>
  <c r="H45" i="84"/>
  <c r="H51" i="84"/>
  <c r="E71" i="84"/>
  <c r="E70" i="84" s="1"/>
  <c r="H128" i="84"/>
  <c r="H142" i="84"/>
  <c r="H154" i="84"/>
  <c r="H156" i="84"/>
  <c r="H158" i="84"/>
  <c r="G168" i="84"/>
  <c r="H168" i="84" s="1"/>
  <c r="G170" i="84"/>
  <c r="H170" i="84" s="1"/>
  <c r="G172" i="84"/>
  <c r="H172" i="84" s="1"/>
  <c r="H169" i="84"/>
  <c r="H171" i="84"/>
  <c r="H155" i="84"/>
  <c r="H157" i="84"/>
  <c r="G152" i="84"/>
  <c r="G166" i="84" s="1"/>
  <c r="H159" i="84"/>
  <c r="H141" i="84"/>
  <c r="H64" i="84"/>
  <c r="H56" i="84"/>
  <c r="H33" i="84"/>
  <c r="E41" i="84"/>
  <c r="H30" i="84"/>
  <c r="H36" i="84"/>
  <c r="G20" i="84"/>
  <c r="F23" i="84"/>
  <c r="G32" i="84"/>
  <c r="G42" i="84"/>
  <c r="G58" i="84"/>
  <c r="G26" i="84" l="1"/>
  <c r="F32" i="84"/>
  <c r="H27" i="84"/>
  <c r="E27" i="84"/>
  <c r="D32" i="84"/>
  <c r="H166" i="84"/>
  <c r="F26" i="84"/>
  <c r="H26" i="84" s="1"/>
  <c r="F71" i="84"/>
  <c r="F70" i="84" s="1"/>
  <c r="F16" i="84" s="1"/>
  <c r="F22" i="84"/>
  <c r="H22" i="84" s="1"/>
  <c r="D23" i="84"/>
  <c r="H152" i="84"/>
  <c r="D22" i="84"/>
  <c r="D26" i="84"/>
  <c r="H32" i="84"/>
  <c r="E16" i="84"/>
  <c r="H42" i="84"/>
  <c r="G41" i="84"/>
  <c r="H41" i="84" s="1"/>
  <c r="G23" i="84"/>
  <c r="H23" i="84" s="1"/>
  <c r="H72" i="84"/>
  <c r="G71" i="84"/>
  <c r="H58" i="84"/>
  <c r="G57" i="84"/>
  <c r="H57" i="84" s="1"/>
  <c r="H20" i="84"/>
  <c r="G17" i="84"/>
  <c r="D21" i="84" l="1"/>
  <c r="D24" i="84" s="1"/>
  <c r="E26" i="84"/>
  <c r="E22" i="84"/>
  <c r="E21" i="84" s="1"/>
  <c r="E24" i="84" s="1"/>
  <c r="F21" i="84"/>
  <c r="F24" i="84" s="1"/>
  <c r="G21" i="84"/>
  <c r="G24" i="84" s="1"/>
  <c r="H17" i="84"/>
  <c r="H71" i="84"/>
  <c r="G70" i="84"/>
  <c r="H70" i="84" s="1"/>
  <c r="G30" i="78"/>
  <c r="H24" i="84" l="1"/>
  <c r="H21" i="84"/>
  <c r="G16" i="84"/>
  <c r="H16" i="84" s="1"/>
  <c r="I28" i="78"/>
  <c r="E28" i="78"/>
  <c r="F28" i="78"/>
  <c r="G28" i="78"/>
  <c r="D28" i="78"/>
  <c r="D19" i="80" l="1"/>
  <c r="D43" i="80" s="1"/>
  <c r="F19" i="80" l="1"/>
  <c r="J11" i="80"/>
  <c r="J12" i="80"/>
  <c r="J13" i="80"/>
  <c r="J14" i="80"/>
  <c r="J15" i="80"/>
  <c r="J16" i="80"/>
  <c r="J18" i="80"/>
  <c r="J22" i="80"/>
  <c r="J24" i="80"/>
  <c r="J25" i="80"/>
  <c r="J27" i="80"/>
  <c r="J28" i="80"/>
  <c r="J29" i="80"/>
  <c r="J30" i="80"/>
  <c r="J31" i="80"/>
  <c r="J32" i="80"/>
  <c r="J33" i="80"/>
  <c r="J34" i="80"/>
  <c r="J36" i="80"/>
  <c r="J38" i="80"/>
  <c r="J39" i="80"/>
  <c r="J41" i="80"/>
  <c r="J44" i="80"/>
  <c r="J45" i="80"/>
  <c r="J46" i="80"/>
  <c r="J47" i="80"/>
  <c r="J48" i="80"/>
  <c r="J50" i="80"/>
  <c r="J52" i="80"/>
  <c r="J57" i="80"/>
  <c r="J59" i="80"/>
  <c r="J60" i="80"/>
  <c r="J62" i="80"/>
  <c r="J64" i="80"/>
  <c r="J65" i="80"/>
  <c r="J67" i="80"/>
  <c r="J69" i="80"/>
  <c r="J70" i="80"/>
  <c r="J76" i="80"/>
  <c r="J77" i="80"/>
  <c r="J78" i="80"/>
  <c r="J79" i="80"/>
  <c r="H11" i="80"/>
  <c r="H12" i="80"/>
  <c r="H13" i="80"/>
  <c r="H14" i="80"/>
  <c r="H15" i="80"/>
  <c r="H16" i="80"/>
  <c r="H18" i="80"/>
  <c r="H22" i="80"/>
  <c r="H24" i="80"/>
  <c r="H25" i="80"/>
  <c r="H27" i="80"/>
  <c r="H28" i="80"/>
  <c r="H29" i="80"/>
  <c r="H30" i="80"/>
  <c r="H31" i="80"/>
  <c r="H32" i="80"/>
  <c r="H33" i="80"/>
  <c r="H34" i="80"/>
  <c r="H36" i="80"/>
  <c r="H38" i="80"/>
  <c r="H39" i="80"/>
  <c r="H41" i="80"/>
  <c r="H44" i="80"/>
  <c r="H45" i="80"/>
  <c r="H46" i="80"/>
  <c r="H47" i="80"/>
  <c r="H48" i="80"/>
  <c r="H50" i="80"/>
  <c r="H52" i="80"/>
  <c r="H57" i="80"/>
  <c r="H59" i="80"/>
  <c r="H60" i="80"/>
  <c r="H62" i="80"/>
  <c r="H64" i="80"/>
  <c r="H65" i="80"/>
  <c r="H67" i="80"/>
  <c r="H69" i="80"/>
  <c r="H70" i="80"/>
  <c r="H76" i="80"/>
  <c r="H77" i="80"/>
  <c r="H78" i="80"/>
  <c r="H79" i="80"/>
  <c r="J28" i="78"/>
  <c r="J29" i="78"/>
  <c r="J30" i="78"/>
  <c r="H28" i="78"/>
  <c r="H29" i="78"/>
  <c r="H30" i="78"/>
  <c r="J13" i="79"/>
  <c r="J16" i="79"/>
  <c r="J17" i="79"/>
  <c r="J20" i="79"/>
  <c r="J23" i="79"/>
  <c r="J24" i="79"/>
  <c r="J25" i="79"/>
  <c r="J26" i="79"/>
  <c r="J32" i="79"/>
  <c r="J33" i="79"/>
  <c r="J35" i="79"/>
  <c r="J37" i="79"/>
  <c r="J39" i="79"/>
  <c r="J46" i="79"/>
  <c r="H13" i="79"/>
  <c r="H16" i="79"/>
  <c r="H17" i="79"/>
  <c r="H20" i="79"/>
  <c r="H23" i="79"/>
  <c r="H24" i="79"/>
  <c r="H25" i="79"/>
  <c r="H26" i="79"/>
  <c r="H32" i="79"/>
  <c r="H33" i="79"/>
  <c r="H35" i="79"/>
  <c r="H37" i="79"/>
  <c r="H39" i="79"/>
  <c r="H46" i="79"/>
  <c r="E8" i="78"/>
  <c r="F8" i="78"/>
  <c r="I8" i="78"/>
  <c r="D8" i="78"/>
  <c r="E61" i="80"/>
  <c r="F61" i="80"/>
  <c r="G61" i="80"/>
  <c r="D61" i="80"/>
  <c r="D68" i="80"/>
  <c r="D66" i="80"/>
  <c r="F68" i="80" l="1"/>
  <c r="F43" i="80"/>
  <c r="F66" i="80"/>
  <c r="H61" i="80"/>
  <c r="J61" i="80"/>
  <c r="G72" i="80"/>
  <c r="E73" i="80"/>
  <c r="F73" i="80"/>
  <c r="G73" i="80"/>
  <c r="I73" i="80"/>
  <c r="E74" i="80"/>
  <c r="F74" i="80"/>
  <c r="I74" i="80"/>
  <c r="E75" i="80"/>
  <c r="F75" i="80"/>
  <c r="G75" i="80"/>
  <c r="I75" i="80"/>
  <c r="D74" i="80"/>
  <c r="D75" i="80"/>
  <c r="D73" i="80"/>
  <c r="D72" i="80"/>
  <c r="I63" i="80"/>
  <c r="E63" i="80"/>
  <c r="F63" i="80"/>
  <c r="G63" i="80"/>
  <c r="D63" i="80"/>
  <c r="E51" i="80"/>
  <c r="F51" i="80"/>
  <c r="I51" i="80"/>
  <c r="E49" i="80"/>
  <c r="F49" i="80"/>
  <c r="G49" i="80"/>
  <c r="I49" i="80"/>
  <c r="D49" i="80"/>
  <c r="I42" i="80"/>
  <c r="E42" i="80"/>
  <c r="F42" i="80"/>
  <c r="G42" i="80"/>
  <c r="D42" i="80"/>
  <c r="I40" i="80"/>
  <c r="E40" i="80"/>
  <c r="F40" i="80"/>
  <c r="G40" i="80"/>
  <c r="D40" i="80"/>
  <c r="E23" i="80"/>
  <c r="F23" i="80"/>
  <c r="G23" i="80"/>
  <c r="I23" i="80"/>
  <c r="F21" i="80"/>
  <c r="F20" i="80" s="1"/>
  <c r="D21" i="80"/>
  <c r="E47" i="79"/>
  <c r="F47" i="79"/>
  <c r="I47" i="79"/>
  <c r="D47" i="79"/>
  <c r="E40" i="79"/>
  <c r="F40" i="79"/>
  <c r="I40" i="79"/>
  <c r="E41" i="79"/>
  <c r="F41" i="79"/>
  <c r="I41" i="79"/>
  <c r="E42" i="79"/>
  <c r="F42" i="79"/>
  <c r="I42" i="79"/>
  <c r="E43" i="79"/>
  <c r="F43" i="79"/>
  <c r="I43" i="79"/>
  <c r="E44" i="79"/>
  <c r="F44" i="79"/>
  <c r="I44" i="79"/>
  <c r="E45" i="79"/>
  <c r="F45" i="79"/>
  <c r="I45" i="79"/>
  <c r="D41" i="79"/>
  <c r="D42" i="79"/>
  <c r="D43" i="79"/>
  <c r="D44" i="79"/>
  <c r="D45" i="79"/>
  <c r="D40" i="79"/>
  <c r="C41" i="79"/>
  <c r="C42" i="79"/>
  <c r="C43" i="79"/>
  <c r="C44" i="79"/>
  <c r="C45" i="79"/>
  <c r="C40" i="79"/>
  <c r="B45" i="79"/>
  <c r="B41" i="79"/>
  <c r="B42" i="79"/>
  <c r="B43" i="79"/>
  <c r="B44" i="79"/>
  <c r="B40" i="79"/>
  <c r="E38" i="79"/>
  <c r="F38" i="79"/>
  <c r="I38" i="79"/>
  <c r="D38" i="79"/>
  <c r="I36" i="79"/>
  <c r="E36" i="79"/>
  <c r="F36" i="79"/>
  <c r="G36" i="79"/>
  <c r="D36" i="79"/>
  <c r="I34" i="79"/>
  <c r="F34" i="79"/>
  <c r="G34" i="79"/>
  <c r="E34" i="79"/>
  <c r="D34" i="79"/>
  <c r="E30" i="79"/>
  <c r="F30" i="79"/>
  <c r="G30" i="79"/>
  <c r="I30" i="79"/>
  <c r="E31" i="79"/>
  <c r="F31" i="79"/>
  <c r="G31" i="79"/>
  <c r="I31" i="79"/>
  <c r="D31" i="79"/>
  <c r="D30" i="79"/>
  <c r="I28" i="79"/>
  <c r="J40" i="80" l="1"/>
  <c r="H42" i="80"/>
  <c r="J63" i="80"/>
  <c r="H36" i="79"/>
  <c r="J36" i="79"/>
  <c r="H40" i="80"/>
  <c r="J42" i="80"/>
  <c r="J49" i="80"/>
  <c r="H63" i="80"/>
  <c r="H34" i="79"/>
  <c r="J34" i="79"/>
  <c r="H49" i="80"/>
  <c r="H30" i="79"/>
  <c r="G29" i="79"/>
  <c r="E29" i="79"/>
  <c r="D29" i="79"/>
  <c r="I29" i="79"/>
  <c r="F29" i="79"/>
  <c r="H75" i="80"/>
  <c r="H72" i="80"/>
  <c r="H31" i="79"/>
  <c r="H73" i="80"/>
  <c r="J31" i="79"/>
  <c r="J30" i="79"/>
  <c r="J23" i="80"/>
  <c r="J75" i="80"/>
  <c r="J73" i="80"/>
  <c r="J51" i="80"/>
  <c r="H51" i="80"/>
  <c r="D71" i="80"/>
  <c r="F28" i="79"/>
  <c r="E28" i="79"/>
  <c r="E27" i="79"/>
  <c r="F27" i="79"/>
  <c r="G27" i="79"/>
  <c r="I27" i="79"/>
  <c r="D27" i="79"/>
  <c r="E21" i="79"/>
  <c r="F21" i="79"/>
  <c r="G21" i="79"/>
  <c r="I21" i="79"/>
  <c r="D21" i="79"/>
  <c r="E18" i="79"/>
  <c r="F18" i="79"/>
  <c r="G18" i="79"/>
  <c r="I18" i="79"/>
  <c r="D18" i="79"/>
  <c r="E11" i="79"/>
  <c r="F11" i="79"/>
  <c r="G11" i="79"/>
  <c r="I11" i="79"/>
  <c r="D11" i="79"/>
  <c r="I56" i="82"/>
  <c r="E56" i="82"/>
  <c r="G56" i="82" s="1"/>
  <c r="H56" i="82" s="1"/>
  <c r="J44" i="82"/>
  <c r="J42" i="82"/>
  <c r="H44" i="82"/>
  <c r="H42" i="82"/>
  <c r="H41" i="82"/>
  <c r="J40" i="82"/>
  <c r="H40" i="82"/>
  <c r="G55" i="82"/>
  <c r="J55" i="82" s="1"/>
  <c r="G54" i="82"/>
  <c r="H54" i="82" s="1"/>
  <c r="J56" i="82" l="1"/>
  <c r="H55" i="82"/>
  <c r="J54" i="82"/>
  <c r="J27" i="79"/>
  <c r="H29" i="79"/>
  <c r="J29" i="79"/>
  <c r="H11" i="79"/>
  <c r="H21" i="79"/>
  <c r="H18" i="79"/>
  <c r="D28" i="79"/>
  <c r="J11" i="79"/>
  <c r="J18" i="79"/>
  <c r="J21" i="79"/>
  <c r="H27" i="79"/>
  <c r="G28" i="79"/>
  <c r="I37" i="80"/>
  <c r="G37" i="80"/>
  <c r="F37" i="80"/>
  <c r="E37" i="80"/>
  <c r="D37" i="80"/>
  <c r="I35" i="80"/>
  <c r="E35" i="80"/>
  <c r="F35" i="80"/>
  <c r="G35" i="80"/>
  <c r="D35" i="80"/>
  <c r="E17" i="80"/>
  <c r="F17" i="80"/>
  <c r="I17" i="80"/>
  <c r="D17" i="80"/>
  <c r="J35" i="80" l="1"/>
  <c r="H37" i="80"/>
  <c r="H35" i="80"/>
  <c r="J37" i="80"/>
  <c r="H28" i="79"/>
  <c r="J28" i="79"/>
  <c r="J9" i="81"/>
  <c r="J10" i="81"/>
  <c r="J11" i="81"/>
  <c r="J12" i="81"/>
  <c r="H9" i="81"/>
  <c r="H10" i="81"/>
  <c r="H11" i="81"/>
  <c r="H12" i="81"/>
  <c r="J8" i="81"/>
  <c r="H8" i="81"/>
  <c r="F72" i="80" l="1"/>
  <c r="F71" i="80" s="1"/>
  <c r="G74" i="80" l="1"/>
  <c r="E35" i="94"/>
  <c r="E39" i="94"/>
  <c r="F35" i="94" l="1"/>
  <c r="F39" i="94"/>
  <c r="G71" i="80"/>
  <c r="H74" i="80"/>
  <c r="J74" i="80"/>
  <c r="G38" i="79"/>
  <c r="J38" i="79" s="1"/>
  <c r="G45" i="79"/>
  <c r="J45" i="79" s="1"/>
  <c r="G43" i="79"/>
  <c r="J43" i="79" s="1"/>
  <c r="G41" i="79"/>
  <c r="J41" i="79" s="1"/>
  <c r="G17" i="80"/>
  <c r="J17" i="80" s="1"/>
  <c r="G40" i="79"/>
  <c r="G44" i="79"/>
  <c r="G42" i="79"/>
  <c r="G8" i="78"/>
  <c r="G47" i="79"/>
  <c r="E43" i="94"/>
  <c r="E40" i="94"/>
  <c r="E30" i="94"/>
  <c r="E14" i="94" s="1"/>
  <c r="F12" i="79"/>
  <c r="D42" i="124" l="1"/>
  <c r="H42" i="124" s="1"/>
  <c r="E32" i="94"/>
  <c r="E11" i="94"/>
  <c r="F12" i="94"/>
  <c r="H38" i="79"/>
  <c r="F40" i="94"/>
  <c r="F43" i="94"/>
  <c r="F49" i="94"/>
  <c r="F54" i="94"/>
  <c r="F30" i="94"/>
  <c r="F14" i="94" s="1"/>
  <c r="F19" i="79"/>
  <c r="E49" i="94"/>
  <c r="F22" i="79"/>
  <c r="E54" i="94"/>
  <c r="H17" i="80"/>
  <c r="H43" i="79"/>
  <c r="E41" i="94"/>
  <c r="E42" i="94"/>
  <c r="E10" i="94"/>
  <c r="F58" i="80"/>
  <c r="F9" i="80"/>
  <c r="F55" i="80" s="1"/>
  <c r="H41" i="79"/>
  <c r="H45" i="79"/>
  <c r="G12" i="79"/>
  <c r="H71" i="80"/>
  <c r="G22" i="79"/>
  <c r="G19" i="79"/>
  <c r="G58" i="80"/>
  <c r="H47" i="79"/>
  <c r="J47" i="79"/>
  <c r="H42" i="79"/>
  <c r="J42" i="79"/>
  <c r="H44" i="79"/>
  <c r="J44" i="79"/>
  <c r="H40" i="79"/>
  <c r="J40" i="79"/>
  <c r="F15" i="79"/>
  <c r="H8" i="78"/>
  <c r="J8" i="78"/>
  <c r="D43" i="123" l="1"/>
  <c r="F32" i="94"/>
  <c r="F10" i="80"/>
  <c r="G15" i="79"/>
  <c r="F56" i="80"/>
  <c r="F10" i="94"/>
  <c r="F42" i="94"/>
  <c r="F14" i="79"/>
  <c r="E31" i="94"/>
  <c r="G9" i="80"/>
  <c r="G14" i="79" l="1"/>
  <c r="F31" i="94"/>
  <c r="F41" i="94"/>
  <c r="G56" i="80"/>
  <c r="G10" i="80"/>
  <c r="G55" i="80"/>
  <c r="G101" i="77" l="1"/>
  <c r="G31" i="77"/>
  <c r="D34" i="124" l="1"/>
  <c r="H34" i="124" s="1"/>
  <c r="F11" i="94"/>
  <c r="G164" i="77"/>
  <c r="G163" i="77"/>
  <c r="H163" i="77" s="1"/>
  <c r="G162" i="77"/>
  <c r="H162" i="77" s="1"/>
  <c r="G161" i="77"/>
  <c r="G160" i="77"/>
  <c r="H160" i="77" s="1"/>
  <c r="G157" i="77"/>
  <c r="G156" i="77"/>
  <c r="G155" i="77"/>
  <c r="G154" i="77"/>
  <c r="G153" i="77"/>
  <c r="H190" i="77"/>
  <c r="H189" i="77"/>
  <c r="H188" i="77"/>
  <c r="F187" i="77"/>
  <c r="H187" i="77" s="1"/>
  <c r="E187" i="77"/>
  <c r="D187" i="77"/>
  <c r="H186" i="77"/>
  <c r="F185" i="77"/>
  <c r="H185" i="77" s="1"/>
  <c r="E185" i="77"/>
  <c r="H184" i="77"/>
  <c r="H183" i="77"/>
  <c r="F182" i="77"/>
  <c r="H182" i="77" s="1"/>
  <c r="F181" i="77"/>
  <c r="H181" i="77" s="1"/>
  <c r="H180" i="77"/>
  <c r="H179" i="77"/>
  <c r="H178" i="77"/>
  <c r="H177" i="77"/>
  <c r="H176" i="77"/>
  <c r="G175" i="77"/>
  <c r="F175" i="77"/>
  <c r="E175" i="77"/>
  <c r="D175" i="77"/>
  <c r="H174" i="77"/>
  <c r="H173" i="77"/>
  <c r="H172" i="77"/>
  <c r="E171" i="77"/>
  <c r="D171" i="77"/>
  <c r="E170" i="77"/>
  <c r="D170" i="77"/>
  <c r="E169" i="77"/>
  <c r="D169" i="77"/>
  <c r="E168" i="77"/>
  <c r="D168" i="77"/>
  <c r="E167" i="77"/>
  <c r="D167" i="77"/>
  <c r="H166" i="77"/>
  <c r="H164" i="77"/>
  <c r="H159" i="77"/>
  <c r="F158" i="77"/>
  <c r="E158" i="77"/>
  <c r="D158" i="77"/>
  <c r="F157" i="77"/>
  <c r="F171" i="77" s="1"/>
  <c r="F156" i="77"/>
  <c r="F170" i="77" s="1"/>
  <c r="F155" i="77"/>
  <c r="F169" i="77" s="1"/>
  <c r="F154" i="77"/>
  <c r="F168" i="77" s="1"/>
  <c r="F153" i="77"/>
  <c r="F167" i="77" s="1"/>
  <c r="H152" i="77"/>
  <c r="E151" i="77"/>
  <c r="D151" i="77"/>
  <c r="H150" i="77"/>
  <c r="H149" i="77"/>
  <c r="H147" i="77"/>
  <c r="H146" i="77"/>
  <c r="H145" i="77"/>
  <c r="H144" i="77"/>
  <c r="H143" i="77"/>
  <c r="H142" i="77"/>
  <c r="G141" i="77"/>
  <c r="F141" i="77"/>
  <c r="F140" i="77" s="1"/>
  <c r="E140" i="77"/>
  <c r="D140" i="77"/>
  <c r="H139" i="77"/>
  <c r="F138" i="77"/>
  <c r="H138" i="77" s="1"/>
  <c r="H137" i="77"/>
  <c r="E137" i="77"/>
  <c r="H136" i="77"/>
  <c r="H135" i="77"/>
  <c r="H134" i="77"/>
  <c r="D134" i="77"/>
  <c r="H133" i="77"/>
  <c r="H132" i="77"/>
  <c r="H131" i="77"/>
  <c r="H130" i="77"/>
  <c r="D129" i="77"/>
  <c r="H128" i="77"/>
  <c r="F127" i="77"/>
  <c r="F129" i="77" s="1"/>
  <c r="H129" i="77" s="1"/>
  <c r="E127" i="77"/>
  <c r="E129" i="77" s="1"/>
  <c r="H126" i="77"/>
  <c r="F125" i="77"/>
  <c r="H125" i="77" s="1"/>
  <c r="E125" i="77"/>
  <c r="H124" i="77"/>
  <c r="H123" i="77"/>
  <c r="H122" i="77"/>
  <c r="H121" i="77"/>
  <c r="H120" i="77"/>
  <c r="H119" i="77"/>
  <c r="H117" i="77"/>
  <c r="H116" i="77"/>
  <c r="H115" i="77"/>
  <c r="H114" i="77"/>
  <c r="H113" i="77"/>
  <c r="H112" i="77"/>
  <c r="H111" i="77"/>
  <c r="H110" i="77"/>
  <c r="H109" i="77"/>
  <c r="H108" i="77"/>
  <c r="H107" i="77"/>
  <c r="G106" i="77"/>
  <c r="H106" i="77" s="1"/>
  <c r="E105" i="77"/>
  <c r="F105" i="77" s="1"/>
  <c r="G105" i="77" s="1"/>
  <c r="H104" i="77"/>
  <c r="H103" i="77"/>
  <c r="H102" i="77"/>
  <c r="H101" i="77"/>
  <c r="H100" i="77"/>
  <c r="G99" i="77"/>
  <c r="F99" i="77"/>
  <c r="E99" i="77"/>
  <c r="D99" i="77"/>
  <c r="H98" i="77"/>
  <c r="H97" i="77"/>
  <c r="H96" i="77"/>
  <c r="H95" i="77"/>
  <c r="H94" i="77"/>
  <c r="H93" i="77"/>
  <c r="G92" i="77"/>
  <c r="F92" i="77"/>
  <c r="E92" i="77"/>
  <c r="D92" i="77"/>
  <c r="H91" i="77"/>
  <c r="H89" i="77"/>
  <c r="H88" i="77"/>
  <c r="H87" i="77"/>
  <c r="H86" i="77"/>
  <c r="H85" i="77"/>
  <c r="F84" i="77"/>
  <c r="E84" i="77"/>
  <c r="D84" i="77"/>
  <c r="H83" i="77"/>
  <c r="F82" i="77"/>
  <c r="E82" i="77"/>
  <c r="D82" i="77"/>
  <c r="H81" i="77"/>
  <c r="H80" i="77"/>
  <c r="H79" i="77"/>
  <c r="H78" i="77"/>
  <c r="E77" i="77"/>
  <c r="F77" i="77" s="1"/>
  <c r="G76" i="77"/>
  <c r="F76" i="77"/>
  <c r="E76" i="77"/>
  <c r="D76" i="77"/>
  <c r="H75" i="77"/>
  <c r="H74" i="77"/>
  <c r="H73" i="77"/>
  <c r="E72" i="77"/>
  <c r="G72" i="77" s="1"/>
  <c r="D71" i="77"/>
  <c r="H69" i="77"/>
  <c r="H68" i="77"/>
  <c r="H67" i="77"/>
  <c r="H66" i="77"/>
  <c r="G65" i="77"/>
  <c r="F65" i="77"/>
  <c r="E65" i="77"/>
  <c r="D65" i="77"/>
  <c r="G64" i="77"/>
  <c r="F64" i="77"/>
  <c r="E64" i="77"/>
  <c r="D64" i="77"/>
  <c r="H63" i="77"/>
  <c r="H62" i="77"/>
  <c r="G61" i="77"/>
  <c r="F61" i="77"/>
  <c r="E61" i="77"/>
  <c r="D61" i="77"/>
  <c r="H60" i="77"/>
  <c r="H59" i="77"/>
  <c r="G56" i="77"/>
  <c r="F56" i="77"/>
  <c r="E56" i="77"/>
  <c r="D56" i="77"/>
  <c r="G55" i="77"/>
  <c r="F55" i="77"/>
  <c r="E55" i="77"/>
  <c r="D55" i="77"/>
  <c r="H54" i="77"/>
  <c r="H53" i="77"/>
  <c r="H52" i="77"/>
  <c r="G51" i="77"/>
  <c r="F51" i="77"/>
  <c r="E51" i="77"/>
  <c r="H50" i="77"/>
  <c r="D50" i="77"/>
  <c r="H49" i="77"/>
  <c r="G48" i="77"/>
  <c r="F48" i="77"/>
  <c r="E48" i="77"/>
  <c r="D48" i="77"/>
  <c r="H47" i="77"/>
  <c r="H46" i="77"/>
  <c r="G45" i="77"/>
  <c r="F45" i="77"/>
  <c r="E45" i="77"/>
  <c r="D45" i="77"/>
  <c r="H44" i="77"/>
  <c r="H43" i="77"/>
  <c r="G40" i="77"/>
  <c r="F40" i="77"/>
  <c r="E40" i="77"/>
  <c r="D40" i="77"/>
  <c r="G39" i="77"/>
  <c r="F39" i="77"/>
  <c r="E39" i="77"/>
  <c r="D39" i="77"/>
  <c r="H38" i="77"/>
  <c r="H37" i="77"/>
  <c r="G36" i="77"/>
  <c r="F36" i="77"/>
  <c r="E36" i="77"/>
  <c r="D36" i="77"/>
  <c r="H35" i="77"/>
  <c r="H34" i="77"/>
  <c r="G25" i="77"/>
  <c r="F31" i="77"/>
  <c r="E31" i="77"/>
  <c r="D31" i="77"/>
  <c r="D25" i="77" s="1"/>
  <c r="G30" i="77"/>
  <c r="F30" i="77"/>
  <c r="E30" i="77"/>
  <c r="D30" i="77"/>
  <c r="H29" i="77"/>
  <c r="H28" i="77"/>
  <c r="E25" i="77"/>
  <c r="E20" i="77" s="1"/>
  <c r="G18" i="77"/>
  <c r="F18" i="77"/>
  <c r="H15" i="77"/>
  <c r="H14" i="77"/>
  <c r="H13" i="77"/>
  <c r="H12" i="77"/>
  <c r="H11" i="77"/>
  <c r="H10" i="77"/>
  <c r="D35" i="124" l="1"/>
  <c r="H35" i="124" s="1"/>
  <c r="G158" i="77"/>
  <c r="H158" i="77" s="1"/>
  <c r="H161" i="77"/>
  <c r="D33" i="77"/>
  <c r="D27" i="77" s="1"/>
  <c r="D22" i="77" s="1"/>
  <c r="D42" i="77"/>
  <c r="D23" i="77" s="1"/>
  <c r="E33" i="77"/>
  <c r="E32" i="77" s="1"/>
  <c r="E42" i="77"/>
  <c r="E41" i="77" s="1"/>
  <c r="D58" i="77"/>
  <c r="D57" i="77" s="1"/>
  <c r="F33" i="77"/>
  <c r="F27" i="77" s="1"/>
  <c r="F22" i="77" s="1"/>
  <c r="F42" i="77"/>
  <c r="F23" i="77" s="1"/>
  <c r="E58" i="77"/>
  <c r="E57" i="77" s="1"/>
  <c r="G33" i="77"/>
  <c r="G42" i="77"/>
  <c r="G41" i="77" s="1"/>
  <c r="G19" i="77"/>
  <c r="H141" i="77"/>
  <c r="H18" i="77"/>
  <c r="H55" i="77"/>
  <c r="H61" i="77"/>
  <c r="H65" i="77"/>
  <c r="D70" i="77"/>
  <c r="H127" i="77"/>
  <c r="E165" i="77"/>
  <c r="E71" i="77"/>
  <c r="E70" i="77" s="1"/>
  <c r="G140" i="77"/>
  <c r="H48" i="77"/>
  <c r="H99" i="77"/>
  <c r="H175" i="77"/>
  <c r="H39" i="77"/>
  <c r="F58" i="77"/>
  <c r="F57" i="77" s="1"/>
  <c r="H84" i="77"/>
  <c r="H92" i="77"/>
  <c r="F151" i="77"/>
  <c r="F165" i="77" s="1"/>
  <c r="D165" i="77"/>
  <c r="F72" i="77"/>
  <c r="H72" i="77" s="1"/>
  <c r="G77" i="77"/>
  <c r="G82" i="77"/>
  <c r="F19" i="77"/>
  <c r="D20" i="77"/>
  <c r="D17" i="77" s="1"/>
  <c r="G20" i="77"/>
  <c r="H30" i="77"/>
  <c r="H45" i="77"/>
  <c r="H51" i="77"/>
  <c r="H64" i="77"/>
  <c r="F25" i="77"/>
  <c r="H36" i="77"/>
  <c r="G58" i="77"/>
  <c r="H76" i="77"/>
  <c r="H105" i="77"/>
  <c r="E17" i="77"/>
  <c r="H56" i="77"/>
  <c r="H31" i="77"/>
  <c r="H40" i="77"/>
  <c r="D41" i="77" l="1"/>
  <c r="D21" i="77"/>
  <c r="D24" i="77" s="1"/>
  <c r="D32" i="77"/>
  <c r="G23" i="77"/>
  <c r="H23" i="77" s="1"/>
  <c r="H19" i="77"/>
  <c r="H33" i="77"/>
  <c r="G32" i="77"/>
  <c r="F41" i="77"/>
  <c r="H41" i="77" s="1"/>
  <c r="E27" i="77"/>
  <c r="F32" i="77"/>
  <c r="H42" i="77"/>
  <c r="E23" i="77"/>
  <c r="E16" i="77"/>
  <c r="H82" i="77"/>
  <c r="H140" i="77"/>
  <c r="G27" i="77"/>
  <c r="G26" i="77" s="1"/>
  <c r="D26" i="77"/>
  <c r="F71" i="77"/>
  <c r="F70" i="77" s="1"/>
  <c r="D16" i="77"/>
  <c r="G17" i="77"/>
  <c r="G171" i="77"/>
  <c r="H157" i="77"/>
  <c r="H58" i="77"/>
  <c r="H77" i="77"/>
  <c r="G57" i="77"/>
  <c r="F21" i="77"/>
  <c r="F24" i="77" s="1"/>
  <c r="H156" i="77"/>
  <c r="G170" i="77"/>
  <c r="G71" i="77"/>
  <c r="G169" i="77"/>
  <c r="H155" i="77"/>
  <c r="F26" i="77"/>
  <c r="F20" i="77"/>
  <c r="H25" i="77"/>
  <c r="H154" i="77"/>
  <c r="G168" i="77"/>
  <c r="H188" i="74"/>
  <c r="I188" i="74"/>
  <c r="F188" i="74"/>
  <c r="H32" i="77" l="1"/>
  <c r="E26" i="77"/>
  <c r="E22" i="77"/>
  <c r="E21" i="77" s="1"/>
  <c r="E24" i="77" s="1"/>
  <c r="H27" i="77"/>
  <c r="G22" i="77"/>
  <c r="G21" i="77" s="1"/>
  <c r="H26" i="77"/>
  <c r="H71" i="77"/>
  <c r="H170" i="77"/>
  <c r="H57" i="77"/>
  <c r="H20" i="77"/>
  <c r="F17" i="77"/>
  <c r="H169" i="77"/>
  <c r="H171" i="77"/>
  <c r="G70" i="77"/>
  <c r="H153" i="77"/>
  <c r="G167" i="77"/>
  <c r="G151" i="77"/>
  <c r="H168" i="77"/>
  <c r="G57" i="75"/>
  <c r="G59" i="75" s="1"/>
  <c r="H182" i="75"/>
  <c r="H181" i="75"/>
  <c r="G180" i="75"/>
  <c r="F180" i="75"/>
  <c r="E180" i="75"/>
  <c r="D180" i="75"/>
  <c r="H179" i="75"/>
  <c r="G178" i="75"/>
  <c r="F178" i="75"/>
  <c r="E178" i="75"/>
  <c r="H177" i="75"/>
  <c r="H176" i="75"/>
  <c r="F175" i="75"/>
  <c r="H175" i="75" s="1"/>
  <c r="F174" i="75"/>
  <c r="H174" i="75" s="1"/>
  <c r="H173" i="75"/>
  <c r="H172" i="75"/>
  <c r="H171" i="75"/>
  <c r="H170" i="75"/>
  <c r="H169" i="75"/>
  <c r="G168" i="75"/>
  <c r="F168" i="75"/>
  <c r="E168" i="75"/>
  <c r="D168" i="75"/>
  <c r="H167" i="75"/>
  <c r="H166" i="75"/>
  <c r="H165" i="75"/>
  <c r="H164" i="75"/>
  <c r="H163" i="75"/>
  <c r="H162" i="75"/>
  <c r="H161" i="75"/>
  <c r="H160" i="75"/>
  <c r="H159" i="75"/>
  <c r="E158" i="75"/>
  <c r="D158" i="75"/>
  <c r="E157" i="75"/>
  <c r="D157" i="75"/>
  <c r="E156" i="75"/>
  <c r="D156" i="75"/>
  <c r="E155" i="75"/>
  <c r="D155" i="75"/>
  <c r="E154" i="75"/>
  <c r="D154" i="75"/>
  <c r="H153" i="75"/>
  <c r="G151" i="75"/>
  <c r="G150" i="75"/>
  <c r="H150" i="75" s="1"/>
  <c r="G149" i="75"/>
  <c r="G148" i="75"/>
  <c r="H148" i="75" s="1"/>
  <c r="G147" i="75"/>
  <c r="H146" i="75"/>
  <c r="F145" i="75"/>
  <c r="E145" i="75"/>
  <c r="D145" i="75"/>
  <c r="G144" i="75"/>
  <c r="F144" i="75"/>
  <c r="F158" i="75" s="1"/>
  <c r="G143" i="75"/>
  <c r="F143" i="75"/>
  <c r="F157" i="75" s="1"/>
  <c r="G142" i="75"/>
  <c r="F142" i="75"/>
  <c r="F156" i="75" s="1"/>
  <c r="G141" i="75"/>
  <c r="F141" i="75"/>
  <c r="G140" i="75"/>
  <c r="F140" i="75"/>
  <c r="F154" i="75" s="1"/>
  <c r="H139" i="75"/>
  <c r="E138" i="75"/>
  <c r="D138" i="75"/>
  <c r="H137" i="75"/>
  <c r="H136" i="75"/>
  <c r="H135" i="75"/>
  <c r="H134" i="75"/>
  <c r="H133" i="75"/>
  <c r="H132" i="75"/>
  <c r="G131" i="75"/>
  <c r="G130" i="75" s="1"/>
  <c r="F131" i="75"/>
  <c r="F130" i="75" s="1"/>
  <c r="E130" i="75"/>
  <c r="D130" i="75"/>
  <c r="H129" i="75"/>
  <c r="F128" i="75"/>
  <c r="H128" i="75" s="1"/>
  <c r="H127" i="75"/>
  <c r="E127" i="75"/>
  <c r="H126" i="75"/>
  <c r="H125" i="75"/>
  <c r="H124" i="75"/>
  <c r="D124" i="75"/>
  <c r="H123" i="75"/>
  <c r="H122" i="75"/>
  <c r="H121" i="75"/>
  <c r="H120" i="75"/>
  <c r="G119" i="75"/>
  <c r="D119" i="75"/>
  <c r="H118" i="75"/>
  <c r="F117" i="75"/>
  <c r="E117" i="75"/>
  <c r="E119" i="75" s="1"/>
  <c r="H116" i="75"/>
  <c r="G115" i="75"/>
  <c r="F115" i="75"/>
  <c r="E115" i="75"/>
  <c r="H114" i="75"/>
  <c r="H113" i="75"/>
  <c r="H112" i="75"/>
  <c r="H111" i="75"/>
  <c r="H110" i="75"/>
  <c r="H109" i="75"/>
  <c r="H108" i="75"/>
  <c r="H107" i="75"/>
  <c r="H106" i="75"/>
  <c r="H105" i="75"/>
  <c r="H104" i="75"/>
  <c r="H103" i="75"/>
  <c r="H102" i="75"/>
  <c r="H101" i="75"/>
  <c r="E100" i="75"/>
  <c r="F100" i="75" s="1"/>
  <c r="H99" i="75"/>
  <c r="H98" i="75"/>
  <c r="H97" i="75"/>
  <c r="H96" i="75"/>
  <c r="G95" i="75"/>
  <c r="F95" i="75"/>
  <c r="E95" i="75"/>
  <c r="D95" i="75"/>
  <c r="H94" i="75"/>
  <c r="H93" i="75"/>
  <c r="H92" i="75"/>
  <c r="H91" i="75"/>
  <c r="H90" i="75"/>
  <c r="H89" i="75"/>
  <c r="G88" i="75"/>
  <c r="F88" i="75"/>
  <c r="E88" i="75"/>
  <c r="D88" i="75"/>
  <c r="H87" i="75"/>
  <c r="H86" i="75"/>
  <c r="H85" i="75"/>
  <c r="H84" i="75"/>
  <c r="H83" i="75"/>
  <c r="H82" i="75"/>
  <c r="E81" i="75"/>
  <c r="D81" i="75"/>
  <c r="H80" i="75"/>
  <c r="G79" i="75"/>
  <c r="F79" i="75"/>
  <c r="E79" i="75"/>
  <c r="D79" i="75"/>
  <c r="H78" i="75"/>
  <c r="H77" i="75"/>
  <c r="H76" i="75"/>
  <c r="H75" i="75"/>
  <c r="E74" i="75"/>
  <c r="G74" i="75" s="1"/>
  <c r="G73" i="75"/>
  <c r="F73" i="75"/>
  <c r="E73" i="75"/>
  <c r="D73" i="75"/>
  <c r="H72" i="75"/>
  <c r="H71" i="75"/>
  <c r="H70" i="75"/>
  <c r="E69" i="75"/>
  <c r="G69" i="75" s="1"/>
  <c r="D68" i="75"/>
  <c r="H66" i="75"/>
  <c r="H65" i="75"/>
  <c r="H64" i="75"/>
  <c r="E63" i="75"/>
  <c r="D63" i="75"/>
  <c r="F59" i="75"/>
  <c r="F56" i="75" s="1"/>
  <c r="E59" i="75"/>
  <c r="E56" i="75" s="1"/>
  <c r="D59" i="75"/>
  <c r="D56" i="75" s="1"/>
  <c r="H58" i="75"/>
  <c r="H57" i="75"/>
  <c r="G54" i="75"/>
  <c r="F54" i="75"/>
  <c r="E54" i="75"/>
  <c r="D54" i="75"/>
  <c r="G53" i="75"/>
  <c r="F53" i="75"/>
  <c r="E53" i="75"/>
  <c r="D53" i="75"/>
  <c r="H52" i="75"/>
  <c r="H51" i="75"/>
  <c r="H50" i="75"/>
  <c r="G49" i="75"/>
  <c r="F49" i="75"/>
  <c r="E49" i="75"/>
  <c r="H48" i="75"/>
  <c r="D48" i="75"/>
  <c r="H47" i="75"/>
  <c r="G43" i="75"/>
  <c r="F43" i="75"/>
  <c r="F40" i="75" s="1"/>
  <c r="F21" i="75" s="1"/>
  <c r="E43" i="75"/>
  <c r="E40" i="75" s="1"/>
  <c r="E21" i="75" s="1"/>
  <c r="D43" i="75"/>
  <c r="D40" i="75" s="1"/>
  <c r="D21" i="75" s="1"/>
  <c r="H42" i="75"/>
  <c r="H41" i="75"/>
  <c r="G38" i="75"/>
  <c r="F38" i="75"/>
  <c r="E38" i="75"/>
  <c r="D38" i="75"/>
  <c r="G23" i="75"/>
  <c r="F23" i="75"/>
  <c r="G28" i="75"/>
  <c r="F28" i="75"/>
  <c r="F25" i="75" s="1"/>
  <c r="F20" i="75" s="1"/>
  <c r="E28" i="75"/>
  <c r="E25" i="75" s="1"/>
  <c r="E20" i="75" s="1"/>
  <c r="D28" i="75"/>
  <c r="H27" i="75"/>
  <c r="H26" i="75"/>
  <c r="D23" i="75"/>
  <c r="H15" i="75"/>
  <c r="H14" i="75"/>
  <c r="H13" i="75"/>
  <c r="H12" i="75"/>
  <c r="H11" i="75"/>
  <c r="H10" i="75"/>
  <c r="H168" i="75" l="1"/>
  <c r="D18" i="75"/>
  <c r="D67" i="75"/>
  <c r="H115" i="75"/>
  <c r="F74" i="75"/>
  <c r="H22" i="77"/>
  <c r="G24" i="77"/>
  <c r="H24" i="77" s="1"/>
  <c r="H21" i="77"/>
  <c r="G165" i="77"/>
  <c r="H151" i="77"/>
  <c r="H70" i="77"/>
  <c r="G16" i="77"/>
  <c r="H167" i="77"/>
  <c r="F16" i="77"/>
  <c r="H17" i="77"/>
  <c r="F19" i="75"/>
  <c r="H79" i="75"/>
  <c r="D17" i="75"/>
  <c r="H49" i="75"/>
  <c r="F18" i="75"/>
  <c r="F17" i="75" s="1"/>
  <c r="F55" i="75"/>
  <c r="H54" i="75"/>
  <c r="D55" i="75"/>
  <c r="F39" i="75"/>
  <c r="E55" i="75"/>
  <c r="E19" i="75"/>
  <c r="E22" i="75" s="1"/>
  <c r="E23" i="75"/>
  <c r="E24" i="75" s="1"/>
  <c r="H53" i="75"/>
  <c r="H63" i="75"/>
  <c r="E68" i="75"/>
  <c r="E67" i="75" s="1"/>
  <c r="F69" i="75"/>
  <c r="H69" i="75" s="1"/>
  <c r="H73" i="75"/>
  <c r="H74" i="75"/>
  <c r="H95" i="75"/>
  <c r="G100" i="75"/>
  <c r="H100" i="75" s="1"/>
  <c r="H140" i="75"/>
  <c r="H142" i="75"/>
  <c r="H144" i="75"/>
  <c r="H81" i="75"/>
  <c r="H178" i="75"/>
  <c r="D152" i="75"/>
  <c r="G157" i="75"/>
  <c r="H157" i="75" s="1"/>
  <c r="H88" i="75"/>
  <c r="H59" i="75"/>
  <c r="G56" i="75"/>
  <c r="H56" i="75" s="1"/>
  <c r="H180" i="75"/>
  <c r="D25" i="75"/>
  <c r="H23" i="75"/>
  <c r="F24" i="75"/>
  <c r="H38" i="75"/>
  <c r="G18" i="75"/>
  <c r="G17" i="75" s="1"/>
  <c r="E39" i="75"/>
  <c r="H43" i="75"/>
  <c r="F119" i="75"/>
  <c r="H117" i="75"/>
  <c r="H131" i="75"/>
  <c r="H143" i="75"/>
  <c r="E152" i="75"/>
  <c r="G154" i="75"/>
  <c r="H154" i="75" s="1"/>
  <c r="H147" i="75"/>
  <c r="G145" i="75"/>
  <c r="G156" i="75"/>
  <c r="H156" i="75" s="1"/>
  <c r="H149" i="75"/>
  <c r="G158" i="75"/>
  <c r="H158" i="75" s="1"/>
  <c r="H151" i="75"/>
  <c r="H28" i="75"/>
  <c r="D39" i="75"/>
  <c r="G40" i="75"/>
  <c r="G68" i="75"/>
  <c r="H130" i="75"/>
  <c r="G138" i="75"/>
  <c r="F155" i="75"/>
  <c r="F138" i="75"/>
  <c r="F152" i="75" s="1"/>
  <c r="H141" i="75"/>
  <c r="G155" i="75"/>
  <c r="G18" i="74"/>
  <c r="H18" i="74"/>
  <c r="I18" i="74"/>
  <c r="F18" i="74"/>
  <c r="F65" i="74"/>
  <c r="G65" i="74"/>
  <c r="H65" i="74"/>
  <c r="I65" i="74"/>
  <c r="D16" i="75" l="1"/>
  <c r="F68" i="75"/>
  <c r="F67" i="75" s="1"/>
  <c r="F22" i="75"/>
  <c r="H22" i="75" s="1"/>
  <c r="H119" i="75"/>
  <c r="H16" i="77"/>
  <c r="H165" i="77"/>
  <c r="F16" i="75"/>
  <c r="E18" i="75"/>
  <c r="E17" i="75" s="1"/>
  <c r="E16" i="75" s="1"/>
  <c r="G55" i="75"/>
  <c r="H55" i="75" s="1"/>
  <c r="H68" i="75"/>
  <c r="G67" i="75"/>
  <c r="H67" i="75" s="1"/>
  <c r="H40" i="75"/>
  <c r="G39" i="75"/>
  <c r="H39" i="75" s="1"/>
  <c r="G21" i="75"/>
  <c r="H21" i="75" s="1"/>
  <c r="G25" i="75"/>
  <c r="H18" i="75"/>
  <c r="H155" i="75"/>
  <c r="H138" i="75"/>
  <c r="G152" i="75"/>
  <c r="H152" i="75" s="1"/>
  <c r="H145" i="75"/>
  <c r="D24" i="75"/>
  <c r="D20" i="75"/>
  <c r="D19" i="75" s="1"/>
  <c r="D22" i="75" s="1"/>
  <c r="J18" i="74"/>
  <c r="K18" i="74"/>
  <c r="I153" i="74"/>
  <c r="H99" i="74"/>
  <c r="I99" i="74"/>
  <c r="F99" i="74"/>
  <c r="H108" i="74"/>
  <c r="I108" i="74"/>
  <c r="I92" i="74"/>
  <c r="H92" i="74"/>
  <c r="F92" i="74"/>
  <c r="K69" i="74"/>
  <c r="J69" i="74"/>
  <c r="G20" i="75" l="1"/>
  <c r="H25" i="75"/>
  <c r="G24" i="75"/>
  <c r="H24" i="75" s="1"/>
  <c r="H17" i="75"/>
  <c r="G16" i="75"/>
  <c r="H16" i="75" s="1"/>
  <c r="H80" i="74"/>
  <c r="I80" i="74" s="1"/>
  <c r="H20" i="75" l="1"/>
  <c r="G19" i="75"/>
  <c r="H19" i="75" s="1"/>
  <c r="K157" i="74"/>
  <c r="J157" i="74"/>
  <c r="K156" i="74"/>
  <c r="J156" i="74"/>
  <c r="G201" i="74"/>
  <c r="H148" i="74"/>
  <c r="K124" i="74" l="1"/>
  <c r="J124" i="74"/>
  <c r="K123" i="74"/>
  <c r="J123" i="74"/>
  <c r="K122" i="74"/>
  <c r="J122" i="74"/>
  <c r="K121" i="74"/>
  <c r="J121" i="74"/>
  <c r="J15" i="74" l="1"/>
  <c r="K204" i="74" l="1"/>
  <c r="J204" i="74"/>
  <c r="K142" i="74" l="1"/>
  <c r="J142" i="74"/>
  <c r="K141" i="74"/>
  <c r="J141" i="74"/>
  <c r="K139" i="74"/>
  <c r="J139" i="74"/>
  <c r="K138" i="74"/>
  <c r="J138" i="74"/>
  <c r="K103" i="74"/>
  <c r="J103" i="74"/>
  <c r="I165" i="74"/>
  <c r="I148" i="74"/>
  <c r="I147" i="74" s="1"/>
  <c r="I84" i="74"/>
  <c r="I82" i="74"/>
  <c r="I76" i="74"/>
  <c r="I64" i="74"/>
  <c r="I61" i="74"/>
  <c r="I56" i="74"/>
  <c r="I55" i="74"/>
  <c r="I51" i="74"/>
  <c r="I48" i="74"/>
  <c r="I45" i="74"/>
  <c r="I40" i="74"/>
  <c r="I39" i="74"/>
  <c r="I36" i="74"/>
  <c r="I31" i="74"/>
  <c r="I19" i="74" s="1"/>
  <c r="I30" i="74"/>
  <c r="H165" i="74"/>
  <c r="H147" i="74"/>
  <c r="H84" i="74"/>
  <c r="H82" i="74"/>
  <c r="H76" i="74"/>
  <c r="H64" i="74"/>
  <c r="H61" i="74"/>
  <c r="H56" i="74"/>
  <c r="H55" i="74"/>
  <c r="H51" i="74"/>
  <c r="H48" i="74"/>
  <c r="H45" i="74"/>
  <c r="H40" i="74"/>
  <c r="H39" i="74"/>
  <c r="H36" i="74"/>
  <c r="H31" i="74"/>
  <c r="H19" i="74" s="1"/>
  <c r="H30" i="74"/>
  <c r="F148" i="74"/>
  <c r="F147" i="74" s="1"/>
  <c r="F177" i="74"/>
  <c r="F175" i="74"/>
  <c r="F165" i="74"/>
  <c r="F178" i="74"/>
  <c r="F176" i="74"/>
  <c r="F174" i="74"/>
  <c r="F84" i="74"/>
  <c r="F82" i="74"/>
  <c r="F76" i="74"/>
  <c r="F64" i="74"/>
  <c r="F61" i="74"/>
  <c r="F56" i="74"/>
  <c r="F55" i="74"/>
  <c r="F51" i="74"/>
  <c r="F48" i="74"/>
  <c r="F45" i="74"/>
  <c r="F40" i="74"/>
  <c r="F39" i="74"/>
  <c r="F36" i="74"/>
  <c r="F31" i="74"/>
  <c r="F19" i="74" s="1"/>
  <c r="F30" i="74"/>
  <c r="J203" i="74"/>
  <c r="J202" i="74"/>
  <c r="J200" i="74"/>
  <c r="J198" i="74"/>
  <c r="J197" i="74"/>
  <c r="J194" i="74"/>
  <c r="J193" i="74"/>
  <c r="J191" i="74"/>
  <c r="J190" i="74"/>
  <c r="J189" i="74"/>
  <c r="J187" i="74"/>
  <c r="J186" i="74"/>
  <c r="J185" i="74"/>
  <c r="J184" i="74"/>
  <c r="J183" i="74"/>
  <c r="J182" i="74"/>
  <c r="J181" i="74"/>
  <c r="J180" i="74"/>
  <c r="J179" i="74"/>
  <c r="J173" i="74"/>
  <c r="J169" i="74"/>
  <c r="J166" i="74"/>
  <c r="J159" i="74"/>
  <c r="J154" i="74"/>
  <c r="J153" i="74"/>
  <c r="J152" i="74"/>
  <c r="J151" i="74"/>
  <c r="J150" i="74"/>
  <c r="J149" i="74"/>
  <c r="J146" i="74"/>
  <c r="J145" i="74"/>
  <c r="J144" i="74"/>
  <c r="J143" i="74"/>
  <c r="J137" i="74"/>
  <c r="J136" i="74"/>
  <c r="J135" i="74"/>
  <c r="J134" i="74"/>
  <c r="J133" i="74"/>
  <c r="J132" i="74"/>
  <c r="J130" i="74"/>
  <c r="J129" i="74"/>
  <c r="J128" i="74"/>
  <c r="J126" i="74"/>
  <c r="J125" i="74"/>
  <c r="J119" i="74"/>
  <c r="J118" i="74"/>
  <c r="J117" i="74"/>
  <c r="J116" i="74"/>
  <c r="J115" i="74"/>
  <c r="J114" i="74"/>
  <c r="J113" i="74"/>
  <c r="J112" i="74"/>
  <c r="J111" i="74"/>
  <c r="J110" i="74"/>
  <c r="J109" i="74"/>
  <c r="J108" i="74"/>
  <c r="J104" i="74"/>
  <c r="J102" i="74"/>
  <c r="J101" i="74"/>
  <c r="J100" i="74"/>
  <c r="J98" i="74"/>
  <c r="J97" i="74"/>
  <c r="J96" i="74"/>
  <c r="J95" i="74"/>
  <c r="J94" i="74"/>
  <c r="J93" i="74"/>
  <c r="J91" i="74"/>
  <c r="J89" i="74"/>
  <c r="J88" i="74"/>
  <c r="J87" i="74"/>
  <c r="J86" i="74"/>
  <c r="J85" i="74"/>
  <c r="J83" i="74"/>
  <c r="J81" i="74"/>
  <c r="J80" i="74"/>
  <c r="J79" i="74"/>
  <c r="J78" i="74"/>
  <c r="J75" i="74"/>
  <c r="J74" i="74"/>
  <c r="J73" i="74"/>
  <c r="J68" i="74"/>
  <c r="J67" i="74"/>
  <c r="J66" i="74"/>
  <c r="J63" i="74"/>
  <c r="J62" i="74"/>
  <c r="J60" i="74"/>
  <c r="J59" i="74"/>
  <c r="J54" i="74"/>
  <c r="J53" i="74"/>
  <c r="J52" i="74"/>
  <c r="J50" i="74"/>
  <c r="J49" i="74"/>
  <c r="J47" i="74"/>
  <c r="J46" i="74"/>
  <c r="J44" i="74"/>
  <c r="J43" i="74"/>
  <c r="J38" i="74"/>
  <c r="J37" i="74"/>
  <c r="J35" i="74"/>
  <c r="J34" i="74"/>
  <c r="J29" i="74"/>
  <c r="J28" i="74"/>
  <c r="J14" i="74"/>
  <c r="J13" i="74"/>
  <c r="J12" i="74"/>
  <c r="J11" i="74"/>
  <c r="J10" i="74"/>
  <c r="K203" i="74"/>
  <c r="K202" i="74"/>
  <c r="K200" i="74"/>
  <c r="K198" i="74"/>
  <c r="K197" i="74"/>
  <c r="K194" i="74"/>
  <c r="K193" i="74"/>
  <c r="K191" i="74"/>
  <c r="K190" i="74"/>
  <c r="K189" i="74"/>
  <c r="K187" i="74"/>
  <c r="K186" i="74"/>
  <c r="K185" i="74"/>
  <c r="K184" i="74"/>
  <c r="K183" i="74"/>
  <c r="K182" i="74"/>
  <c r="K181" i="74"/>
  <c r="K180" i="74"/>
  <c r="K179" i="74"/>
  <c r="K173" i="74"/>
  <c r="K166" i="74"/>
  <c r="K159" i="74"/>
  <c r="K154" i="74"/>
  <c r="K153" i="74"/>
  <c r="K152" i="74"/>
  <c r="K151" i="74"/>
  <c r="K150" i="74"/>
  <c r="K149" i="74"/>
  <c r="K146" i="74"/>
  <c r="K144" i="74"/>
  <c r="K143" i="74"/>
  <c r="K137" i="74"/>
  <c r="K136" i="74"/>
  <c r="K135" i="74"/>
  <c r="K134" i="74"/>
  <c r="K133" i="74"/>
  <c r="K132" i="74"/>
  <c r="K130" i="74"/>
  <c r="K128" i="74"/>
  <c r="K126" i="74"/>
  <c r="K125" i="74"/>
  <c r="K119" i="74"/>
  <c r="K118" i="74"/>
  <c r="K117" i="74"/>
  <c r="K116" i="74"/>
  <c r="K115" i="74"/>
  <c r="K114" i="74"/>
  <c r="K113" i="74"/>
  <c r="K112" i="74"/>
  <c r="K111" i="74"/>
  <c r="K110" i="74"/>
  <c r="K109" i="74"/>
  <c r="K108" i="74"/>
  <c r="K104" i="74"/>
  <c r="K102" i="74"/>
  <c r="K101" i="74"/>
  <c r="K100" i="74"/>
  <c r="K98" i="74"/>
  <c r="K97" i="74"/>
  <c r="K96" i="74"/>
  <c r="K95" i="74"/>
  <c r="K94" i="74"/>
  <c r="K93" i="74"/>
  <c r="K91" i="74"/>
  <c r="K89" i="74"/>
  <c r="K88" i="74"/>
  <c r="K87" i="74"/>
  <c r="K86" i="74"/>
  <c r="K85" i="74"/>
  <c r="K83" i="74"/>
  <c r="K81" i="74"/>
  <c r="K80" i="74"/>
  <c r="K79" i="74"/>
  <c r="K78" i="74"/>
  <c r="K75" i="74"/>
  <c r="K74" i="74"/>
  <c r="K73" i="74"/>
  <c r="K68" i="74"/>
  <c r="K67" i="74"/>
  <c r="K66" i="74"/>
  <c r="K63" i="74"/>
  <c r="K62" i="74"/>
  <c r="K60" i="74"/>
  <c r="K59" i="74"/>
  <c r="K54" i="74"/>
  <c r="K53" i="74"/>
  <c r="K52" i="74"/>
  <c r="K50" i="74"/>
  <c r="K49" i="74"/>
  <c r="K47" i="74"/>
  <c r="K46" i="74"/>
  <c r="K44" i="74"/>
  <c r="K43" i="74"/>
  <c r="K38" i="74"/>
  <c r="K37" i="74"/>
  <c r="K35" i="74"/>
  <c r="K34" i="74"/>
  <c r="K29" i="74"/>
  <c r="K28" i="74"/>
  <c r="K15" i="74"/>
  <c r="K14" i="74"/>
  <c r="K13" i="74"/>
  <c r="K12" i="74"/>
  <c r="K11" i="74"/>
  <c r="K10" i="74"/>
  <c r="E201" i="74"/>
  <c r="D201" i="74"/>
  <c r="G199" i="74"/>
  <c r="E199" i="74"/>
  <c r="G196" i="74"/>
  <c r="G195" i="74"/>
  <c r="J188" i="74"/>
  <c r="G188" i="74"/>
  <c r="E188" i="74"/>
  <c r="D188" i="74"/>
  <c r="E178" i="74"/>
  <c r="D178" i="74"/>
  <c r="E177" i="74"/>
  <c r="D177" i="74"/>
  <c r="E176" i="74"/>
  <c r="D176" i="74"/>
  <c r="E175" i="74"/>
  <c r="D175" i="74"/>
  <c r="E174" i="74"/>
  <c r="D174" i="74"/>
  <c r="J171" i="74"/>
  <c r="J167" i="74"/>
  <c r="G165" i="74"/>
  <c r="E165" i="74"/>
  <c r="D165" i="74"/>
  <c r="G164" i="74"/>
  <c r="G163" i="74"/>
  <c r="G162" i="74"/>
  <c r="G161" i="74"/>
  <c r="G160" i="74"/>
  <c r="E158" i="74"/>
  <c r="D158" i="74"/>
  <c r="G148" i="74"/>
  <c r="G147" i="74" s="1"/>
  <c r="E147" i="74"/>
  <c r="D147" i="74"/>
  <c r="G145" i="74"/>
  <c r="K145" i="74" s="1"/>
  <c r="E144" i="74"/>
  <c r="D136" i="74"/>
  <c r="D131" i="74"/>
  <c r="G129" i="74"/>
  <c r="G131" i="74" s="1"/>
  <c r="E129" i="74"/>
  <c r="E131" i="74" s="1"/>
  <c r="G127" i="74"/>
  <c r="E127" i="74"/>
  <c r="E107" i="74"/>
  <c r="G99" i="74"/>
  <c r="K99" i="74" s="1"/>
  <c r="E99" i="74"/>
  <c r="D99" i="74"/>
  <c r="J92" i="74"/>
  <c r="G92" i="74"/>
  <c r="E92" i="74"/>
  <c r="D92" i="74"/>
  <c r="G84" i="74"/>
  <c r="E84" i="74"/>
  <c r="D84" i="74"/>
  <c r="G82" i="74"/>
  <c r="E82" i="74"/>
  <c r="D82" i="74"/>
  <c r="E77" i="74"/>
  <c r="G76" i="74"/>
  <c r="E76" i="74"/>
  <c r="D76" i="74"/>
  <c r="E72" i="74"/>
  <c r="H72" i="74" s="1"/>
  <c r="D71" i="74"/>
  <c r="E65" i="74"/>
  <c r="D65" i="74"/>
  <c r="G64" i="74"/>
  <c r="E64" i="74"/>
  <c r="D64" i="74"/>
  <c r="G61" i="74"/>
  <c r="E61" i="74"/>
  <c r="D61" i="74"/>
  <c r="G56" i="74"/>
  <c r="E56" i="74"/>
  <c r="D56" i="74"/>
  <c r="G55" i="74"/>
  <c r="E55" i="74"/>
  <c r="D55" i="74"/>
  <c r="G51" i="74"/>
  <c r="E51" i="74"/>
  <c r="D50" i="74"/>
  <c r="G48" i="74"/>
  <c r="E48" i="74"/>
  <c r="D48" i="74"/>
  <c r="G45" i="74"/>
  <c r="E45" i="74"/>
  <c r="D45" i="74"/>
  <c r="G40" i="74"/>
  <c r="E40" i="74"/>
  <c r="D40" i="74"/>
  <c r="G39" i="74"/>
  <c r="E39" i="74"/>
  <c r="D39" i="74"/>
  <c r="G36" i="74"/>
  <c r="E36" i="74"/>
  <c r="D36" i="74"/>
  <c r="G31" i="74"/>
  <c r="G19" i="74" s="1"/>
  <c r="E31" i="74"/>
  <c r="E25" i="74" s="1"/>
  <c r="D31" i="74"/>
  <c r="D25" i="74" s="1"/>
  <c r="G30" i="74"/>
  <c r="E30" i="74"/>
  <c r="D30" i="74"/>
  <c r="H25" i="74" l="1"/>
  <c r="F25" i="74"/>
  <c r="I25" i="74"/>
  <c r="G25" i="74"/>
  <c r="G20" i="74" s="1"/>
  <c r="I196" i="74"/>
  <c r="J196" i="74" s="1"/>
  <c r="I195" i="74"/>
  <c r="J195" i="74" s="1"/>
  <c r="J19" i="74"/>
  <c r="K19" i="74"/>
  <c r="K40" i="74"/>
  <c r="G175" i="74"/>
  <c r="H161" i="74"/>
  <c r="G177" i="74"/>
  <c r="H163" i="74"/>
  <c r="G72" i="74"/>
  <c r="I72" i="74"/>
  <c r="F77" i="74"/>
  <c r="F71" i="74" s="1"/>
  <c r="F70" i="74" s="1"/>
  <c r="H77" i="74"/>
  <c r="H71" i="74" s="1"/>
  <c r="H70" i="74" s="1"/>
  <c r="I77" i="74"/>
  <c r="G174" i="74"/>
  <c r="H160" i="74"/>
  <c r="G176" i="74"/>
  <c r="H162" i="74"/>
  <c r="G178" i="74"/>
  <c r="H164" i="74"/>
  <c r="I42" i="74"/>
  <c r="I41" i="74" s="1"/>
  <c r="J56" i="74"/>
  <c r="J64" i="74"/>
  <c r="E20" i="74"/>
  <c r="E17" i="74" s="1"/>
  <c r="E33" i="74"/>
  <c r="E32" i="74" s="1"/>
  <c r="E42" i="74"/>
  <c r="E23" i="74" s="1"/>
  <c r="H20" i="74"/>
  <c r="H17" i="74" s="1"/>
  <c r="H42" i="74"/>
  <c r="H41" i="74" s="1"/>
  <c r="J148" i="74"/>
  <c r="F42" i="74"/>
  <c r="F41" i="74" s="1"/>
  <c r="J51" i="74"/>
  <c r="H33" i="74"/>
  <c r="H32" i="74" s="1"/>
  <c r="I20" i="74"/>
  <c r="I17" i="74" s="1"/>
  <c r="J48" i="74"/>
  <c r="I58" i="74"/>
  <c r="I57" i="74" s="1"/>
  <c r="D33" i="74"/>
  <c r="D32" i="74" s="1"/>
  <c r="G33" i="74"/>
  <c r="G32" i="74" s="1"/>
  <c r="D42" i="74"/>
  <c r="D23" i="74" s="1"/>
  <c r="G42" i="74"/>
  <c r="G23" i="74" s="1"/>
  <c r="J61" i="74"/>
  <c r="E71" i="74"/>
  <c r="E70" i="74" s="1"/>
  <c r="G158" i="74"/>
  <c r="G172" i="74" s="1"/>
  <c r="F33" i="74"/>
  <c r="F32" i="74" s="1"/>
  <c r="F20" i="74"/>
  <c r="F17" i="74" s="1"/>
  <c r="J76" i="74"/>
  <c r="H58" i="74"/>
  <c r="H57" i="74" s="1"/>
  <c r="I33" i="74"/>
  <c r="I32" i="74" s="1"/>
  <c r="K82" i="74"/>
  <c r="J30" i="74"/>
  <c r="F158" i="74"/>
  <c r="F172" i="74" s="1"/>
  <c r="F58" i="74"/>
  <c r="F57" i="74" s="1"/>
  <c r="J40" i="74"/>
  <c r="J36" i="74"/>
  <c r="K131" i="74"/>
  <c r="K188" i="74"/>
  <c r="K92" i="74"/>
  <c r="J82" i="74"/>
  <c r="J99" i="74"/>
  <c r="J131" i="74"/>
  <c r="K127" i="74"/>
  <c r="J127" i="74"/>
  <c r="K84" i="74"/>
  <c r="J84" i="74"/>
  <c r="J25" i="74"/>
  <c r="K31" i="74"/>
  <c r="J31" i="74"/>
  <c r="K45" i="74"/>
  <c r="J45" i="74"/>
  <c r="K55" i="74"/>
  <c r="J55" i="74"/>
  <c r="K65" i="74"/>
  <c r="J65" i="74"/>
  <c r="G77" i="74"/>
  <c r="K165" i="74"/>
  <c r="J165" i="74"/>
  <c r="J168" i="74"/>
  <c r="K168" i="74"/>
  <c r="J170" i="74"/>
  <c r="K170" i="74"/>
  <c r="K56" i="74"/>
  <c r="K64" i="74"/>
  <c r="K61" i="74"/>
  <c r="K76" i="74"/>
  <c r="K148" i="74"/>
  <c r="J199" i="74"/>
  <c r="K199" i="74"/>
  <c r="J201" i="74"/>
  <c r="K201" i="74"/>
  <c r="K30" i="74"/>
  <c r="K39" i="74"/>
  <c r="K48" i="74"/>
  <c r="D70" i="74"/>
  <c r="K129" i="74"/>
  <c r="K167" i="74"/>
  <c r="K169" i="74"/>
  <c r="K171" i="74"/>
  <c r="K51" i="74"/>
  <c r="K36" i="74"/>
  <c r="J39" i="74"/>
  <c r="D58" i="74"/>
  <c r="D57" i="74" s="1"/>
  <c r="G58" i="74"/>
  <c r="G57" i="74" s="1"/>
  <c r="E58" i="74"/>
  <c r="E57" i="74" s="1"/>
  <c r="D20" i="74"/>
  <c r="D17" i="74" s="1"/>
  <c r="E172" i="74"/>
  <c r="G107" i="74"/>
  <c r="D172" i="74"/>
  <c r="J175" i="73"/>
  <c r="J174" i="73"/>
  <c r="J173" i="73"/>
  <c r="J172" i="73"/>
  <c r="J171" i="73"/>
  <c r="J170" i="73"/>
  <c r="J169" i="73"/>
  <c r="J167" i="73"/>
  <c r="J166" i="73"/>
  <c r="J165" i="73"/>
  <c r="J164" i="73"/>
  <c r="J163" i="73"/>
  <c r="J162" i="73"/>
  <c r="J161" i="73"/>
  <c r="J160" i="73"/>
  <c r="J159" i="73"/>
  <c r="J153" i="73"/>
  <c r="J146" i="73"/>
  <c r="J139" i="73"/>
  <c r="J137" i="73"/>
  <c r="J136" i="73"/>
  <c r="J135" i="73"/>
  <c r="J134" i="73"/>
  <c r="J133" i="73"/>
  <c r="J132" i="73"/>
  <c r="J129" i="73"/>
  <c r="J128" i="73"/>
  <c r="J127" i="73"/>
  <c r="J126" i="73"/>
  <c r="J125" i="73"/>
  <c r="J124" i="73"/>
  <c r="J123" i="73"/>
  <c r="J122" i="73"/>
  <c r="J121" i="73"/>
  <c r="J120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4" i="73"/>
  <c r="J93" i="73"/>
  <c r="J92" i="73"/>
  <c r="J91" i="73"/>
  <c r="J90" i="73"/>
  <c r="J89" i="73"/>
  <c r="J87" i="73"/>
  <c r="J86" i="73"/>
  <c r="J85" i="73"/>
  <c r="J84" i="73"/>
  <c r="J83" i="73"/>
  <c r="J82" i="73"/>
  <c r="J81" i="73"/>
  <c r="J80" i="73"/>
  <c r="J79" i="73"/>
  <c r="J78" i="73"/>
  <c r="J77" i="73"/>
  <c r="J76" i="73"/>
  <c r="J75" i="73"/>
  <c r="J73" i="73"/>
  <c r="J72" i="73"/>
  <c r="J71" i="73"/>
  <c r="J70" i="73"/>
  <c r="J66" i="73"/>
  <c r="J65" i="73"/>
  <c r="J64" i="73"/>
  <c r="J63" i="73"/>
  <c r="J62" i="73"/>
  <c r="J61" i="73"/>
  <c r="J60" i="73"/>
  <c r="J59" i="73"/>
  <c r="J58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37" i="73"/>
  <c r="J36" i="73"/>
  <c r="J35" i="73"/>
  <c r="J34" i="73"/>
  <c r="J33" i="73"/>
  <c r="J32" i="73"/>
  <c r="J31" i="73"/>
  <c r="J30" i="73"/>
  <c r="J29" i="73"/>
  <c r="J28" i="73"/>
  <c r="J27" i="73"/>
  <c r="J26" i="73"/>
  <c r="J22" i="73"/>
  <c r="J21" i="73"/>
  <c r="J20" i="73"/>
  <c r="J19" i="73"/>
  <c r="J15" i="73"/>
  <c r="J14" i="73"/>
  <c r="J13" i="73"/>
  <c r="J12" i="73"/>
  <c r="J11" i="73"/>
  <c r="J10" i="73"/>
  <c r="F74" i="73"/>
  <c r="F69" i="73"/>
  <c r="F57" i="73"/>
  <c r="J57" i="73" s="1"/>
  <c r="F168" i="73"/>
  <c r="F131" i="73"/>
  <c r="F130" i="73" s="1"/>
  <c r="F119" i="73"/>
  <c r="F95" i="73"/>
  <c r="F88" i="73"/>
  <c r="F56" i="73"/>
  <c r="F40" i="73"/>
  <c r="F38" i="73"/>
  <c r="F25" i="73"/>
  <c r="F23" i="73"/>
  <c r="G175" i="73"/>
  <c r="I175" i="73" s="1"/>
  <c r="G174" i="73"/>
  <c r="I174" i="73" s="1"/>
  <c r="I173" i="73"/>
  <c r="I172" i="73"/>
  <c r="I169" i="73"/>
  <c r="H168" i="73"/>
  <c r="G168" i="73"/>
  <c r="E168" i="73"/>
  <c r="D168" i="73"/>
  <c r="I167" i="73"/>
  <c r="I166" i="73"/>
  <c r="I165" i="73"/>
  <c r="E158" i="73"/>
  <c r="D158" i="73"/>
  <c r="E157" i="73"/>
  <c r="D157" i="73"/>
  <c r="E156" i="73"/>
  <c r="D156" i="73"/>
  <c r="E155" i="73"/>
  <c r="D155" i="73"/>
  <c r="E154" i="73"/>
  <c r="D154" i="73"/>
  <c r="I153" i="73"/>
  <c r="H151" i="73"/>
  <c r="J151" i="73" s="1"/>
  <c r="H150" i="73"/>
  <c r="I150" i="73" s="1"/>
  <c r="H149" i="73"/>
  <c r="J149" i="73" s="1"/>
  <c r="H148" i="73"/>
  <c r="I148" i="73" s="1"/>
  <c r="H147" i="73"/>
  <c r="J147" i="73" s="1"/>
  <c r="I146" i="73"/>
  <c r="G145" i="73"/>
  <c r="E145" i="73"/>
  <c r="D145" i="73"/>
  <c r="H144" i="73"/>
  <c r="J144" i="73" s="1"/>
  <c r="G144" i="73"/>
  <c r="G158" i="73" s="1"/>
  <c r="H143" i="73"/>
  <c r="J143" i="73" s="1"/>
  <c r="G143" i="73"/>
  <c r="G157" i="73" s="1"/>
  <c r="H142" i="73"/>
  <c r="J142" i="73" s="1"/>
  <c r="G142" i="73"/>
  <c r="G156" i="73" s="1"/>
  <c r="H141" i="73"/>
  <c r="J141" i="73" s="1"/>
  <c r="G141" i="73"/>
  <c r="G155" i="73" s="1"/>
  <c r="H140" i="73"/>
  <c r="J140" i="73" s="1"/>
  <c r="G140" i="73"/>
  <c r="G154" i="73" s="1"/>
  <c r="I139" i="73"/>
  <c r="E138" i="73"/>
  <c r="D138" i="73"/>
  <c r="I137" i="73"/>
  <c r="I136" i="73"/>
  <c r="I135" i="73"/>
  <c r="I134" i="73"/>
  <c r="I133" i="73"/>
  <c r="I132" i="73"/>
  <c r="H131" i="73"/>
  <c r="H130" i="73" s="1"/>
  <c r="G131" i="73"/>
  <c r="G130" i="73" s="1"/>
  <c r="E130" i="73"/>
  <c r="D130" i="73"/>
  <c r="I129" i="73"/>
  <c r="G128" i="73"/>
  <c r="I128" i="73" s="1"/>
  <c r="I127" i="73"/>
  <c r="E127" i="73"/>
  <c r="I126" i="73"/>
  <c r="I125" i="73"/>
  <c r="I124" i="73"/>
  <c r="D124" i="73"/>
  <c r="I123" i="73"/>
  <c r="I122" i="73"/>
  <c r="I121" i="73"/>
  <c r="I120" i="73"/>
  <c r="H119" i="73"/>
  <c r="D119" i="73"/>
  <c r="I118" i="73"/>
  <c r="G117" i="73"/>
  <c r="G119" i="73" s="1"/>
  <c r="E117" i="73"/>
  <c r="E119" i="73" s="1"/>
  <c r="I116" i="73"/>
  <c r="G115" i="73"/>
  <c r="I115" i="73" s="1"/>
  <c r="E115" i="73"/>
  <c r="I114" i="73"/>
  <c r="I113" i="73"/>
  <c r="I112" i="73"/>
  <c r="I111" i="73"/>
  <c r="I110" i="73"/>
  <c r="I109" i="73"/>
  <c r="I108" i="73"/>
  <c r="I107" i="73"/>
  <c r="I106" i="73"/>
  <c r="I105" i="73"/>
  <c r="I104" i="73"/>
  <c r="I103" i="73"/>
  <c r="I102" i="73"/>
  <c r="I97" i="73"/>
  <c r="I96" i="73"/>
  <c r="H95" i="73"/>
  <c r="G95" i="73"/>
  <c r="E95" i="73"/>
  <c r="D95" i="73"/>
  <c r="I94" i="73"/>
  <c r="I93" i="73"/>
  <c r="I92" i="73"/>
  <c r="I91" i="73"/>
  <c r="I90" i="73"/>
  <c r="I89" i="73"/>
  <c r="H88" i="73"/>
  <c r="G88" i="73"/>
  <c r="E88" i="73"/>
  <c r="D88" i="73"/>
  <c r="I87" i="73"/>
  <c r="I76" i="73"/>
  <c r="I75" i="73"/>
  <c r="E74" i="73"/>
  <c r="G74" i="73" s="1"/>
  <c r="I70" i="73"/>
  <c r="E69" i="73"/>
  <c r="H69" i="73" s="1"/>
  <c r="D68" i="73"/>
  <c r="D67" i="73" s="1"/>
  <c r="I66" i="73"/>
  <c r="I65" i="73"/>
  <c r="I64" i="73"/>
  <c r="I57" i="73"/>
  <c r="H56" i="73"/>
  <c r="J56" i="73" s="1"/>
  <c r="G56" i="73"/>
  <c r="E56" i="73"/>
  <c r="D56" i="73"/>
  <c r="H54" i="73"/>
  <c r="H55" i="73" s="1"/>
  <c r="G54" i="73"/>
  <c r="E54" i="73"/>
  <c r="D54" i="73"/>
  <c r="I51" i="73"/>
  <c r="I50" i="73"/>
  <c r="I41" i="73"/>
  <c r="H40" i="73"/>
  <c r="G40" i="73"/>
  <c r="E40" i="73"/>
  <c r="D40" i="73"/>
  <c r="H38" i="73"/>
  <c r="G38" i="73"/>
  <c r="E38" i="73"/>
  <c r="D38" i="73"/>
  <c r="I26" i="73"/>
  <c r="H25" i="73"/>
  <c r="J25" i="73" s="1"/>
  <c r="G25" i="73"/>
  <c r="E25" i="73"/>
  <c r="D25" i="73"/>
  <c r="H23" i="73"/>
  <c r="G23" i="73"/>
  <c r="E23" i="73"/>
  <c r="D23" i="73"/>
  <c r="I15" i="73"/>
  <c r="I14" i="73"/>
  <c r="I13" i="73"/>
  <c r="I12" i="73"/>
  <c r="I11" i="73"/>
  <c r="I10" i="73"/>
  <c r="H24" i="73" l="1"/>
  <c r="E39" i="73"/>
  <c r="F54" i="73"/>
  <c r="K25" i="74"/>
  <c r="J168" i="73"/>
  <c r="J88" i="73"/>
  <c r="J69" i="73"/>
  <c r="J119" i="73"/>
  <c r="K195" i="74"/>
  <c r="K196" i="74"/>
  <c r="D27" i="74"/>
  <c r="D22" i="74" s="1"/>
  <c r="D21" i="74" s="1"/>
  <c r="D24" i="74" s="1"/>
  <c r="E27" i="74"/>
  <c r="E22" i="74" s="1"/>
  <c r="E21" i="74" s="1"/>
  <c r="E24" i="74" s="1"/>
  <c r="H23" i="74"/>
  <c r="H107" i="74"/>
  <c r="I107" i="74"/>
  <c r="J107" i="74" s="1"/>
  <c r="D41" i="74"/>
  <c r="G71" i="74"/>
  <c r="G70" i="74" s="1"/>
  <c r="I23" i="74"/>
  <c r="I71" i="74"/>
  <c r="I70" i="74" s="1"/>
  <c r="I16" i="74" s="1"/>
  <c r="I163" i="74"/>
  <c r="H177" i="74"/>
  <c r="I161" i="74"/>
  <c r="H175" i="74"/>
  <c r="I164" i="74"/>
  <c r="H178" i="74"/>
  <c r="I162" i="74"/>
  <c r="H176" i="74"/>
  <c r="I160" i="74"/>
  <c r="H174" i="74"/>
  <c r="H158" i="74"/>
  <c r="H172" i="74" s="1"/>
  <c r="J20" i="74"/>
  <c r="G27" i="74"/>
  <c r="G22" i="74" s="1"/>
  <c r="G21" i="74" s="1"/>
  <c r="G24" i="74" s="1"/>
  <c r="F23" i="74"/>
  <c r="D16" i="74"/>
  <c r="F16" i="74"/>
  <c r="F27" i="74"/>
  <c r="F22" i="74" s="1"/>
  <c r="H27" i="74"/>
  <c r="H22" i="74" s="1"/>
  <c r="K20" i="74"/>
  <c r="E41" i="74"/>
  <c r="H16" i="74"/>
  <c r="E16" i="74"/>
  <c r="G41" i="74"/>
  <c r="I27" i="74"/>
  <c r="K72" i="74"/>
  <c r="J72" i="74"/>
  <c r="J58" i="74"/>
  <c r="K58" i="74"/>
  <c r="J77" i="74"/>
  <c r="K77" i="74"/>
  <c r="J147" i="74"/>
  <c r="K147" i="74"/>
  <c r="J42" i="74"/>
  <c r="K42" i="74"/>
  <c r="G17" i="74"/>
  <c r="G16" i="74" s="1"/>
  <c r="K33" i="74"/>
  <c r="J33" i="74"/>
  <c r="J17" i="74"/>
  <c r="D26" i="74"/>
  <c r="H18" i="73"/>
  <c r="H17" i="73" s="1"/>
  <c r="J40" i="73"/>
  <c r="J95" i="73"/>
  <c r="F24" i="73"/>
  <c r="J24" i="73" s="1"/>
  <c r="J54" i="73"/>
  <c r="J38" i="73"/>
  <c r="J23" i="73"/>
  <c r="J148" i="73"/>
  <c r="J130" i="73"/>
  <c r="J131" i="73"/>
  <c r="J150" i="73"/>
  <c r="F145" i="73"/>
  <c r="F156" i="73"/>
  <c r="F158" i="73"/>
  <c r="F55" i="73"/>
  <c r="J55" i="73" s="1"/>
  <c r="F18" i="73"/>
  <c r="F17" i="73" s="1"/>
  <c r="F39" i="73"/>
  <c r="F68" i="73"/>
  <c r="F67" i="73" s="1"/>
  <c r="F138" i="73"/>
  <c r="F155" i="73"/>
  <c r="F157" i="73"/>
  <c r="F154" i="73"/>
  <c r="E18" i="73"/>
  <c r="E17" i="73" s="1"/>
  <c r="I38" i="73"/>
  <c r="I88" i="73"/>
  <c r="I140" i="73"/>
  <c r="I142" i="73"/>
  <c r="I144" i="73"/>
  <c r="E24" i="73"/>
  <c r="H39" i="73"/>
  <c r="E55" i="73"/>
  <c r="I130" i="73"/>
  <c r="D39" i="73"/>
  <c r="G39" i="73"/>
  <c r="E152" i="73"/>
  <c r="D18" i="73"/>
  <c r="D17" i="73" s="1"/>
  <c r="D16" i="73" s="1"/>
  <c r="G18" i="73"/>
  <c r="G17" i="73" s="1"/>
  <c r="D24" i="73"/>
  <c r="G24" i="73"/>
  <c r="I24" i="73" s="1"/>
  <c r="I54" i="73"/>
  <c r="D55" i="73"/>
  <c r="G55" i="73"/>
  <c r="I55" i="73" s="1"/>
  <c r="G69" i="73"/>
  <c r="G68" i="73" s="1"/>
  <c r="G67" i="73" s="1"/>
  <c r="I95" i="73"/>
  <c r="H138" i="73"/>
  <c r="D152" i="73"/>
  <c r="H154" i="73"/>
  <c r="H156" i="73"/>
  <c r="H158" i="73"/>
  <c r="I168" i="73"/>
  <c r="I119" i="73"/>
  <c r="I23" i="73"/>
  <c r="I25" i="73"/>
  <c r="I40" i="73"/>
  <c r="I56" i="73"/>
  <c r="H74" i="73"/>
  <c r="I131" i="73"/>
  <c r="I141" i="73"/>
  <c r="I143" i="73"/>
  <c r="H155" i="73"/>
  <c r="H157" i="73"/>
  <c r="E68" i="73"/>
  <c r="E67" i="73" s="1"/>
  <c r="I117" i="73"/>
  <c r="G138" i="73"/>
  <c r="H145" i="73"/>
  <c r="I147" i="73"/>
  <c r="I149" i="73"/>
  <c r="I151" i="73"/>
  <c r="F26" i="74" l="1"/>
  <c r="E16" i="73"/>
  <c r="J138" i="73"/>
  <c r="J145" i="73"/>
  <c r="J17" i="73"/>
  <c r="J18" i="73"/>
  <c r="F21" i="74"/>
  <c r="F24" i="74" s="1"/>
  <c r="G26" i="74"/>
  <c r="E26" i="74"/>
  <c r="H26" i="74"/>
  <c r="H21" i="74"/>
  <c r="H24" i="74" s="1"/>
  <c r="K107" i="74"/>
  <c r="I174" i="74"/>
  <c r="I158" i="74"/>
  <c r="J160" i="74"/>
  <c r="K160" i="74"/>
  <c r="I176" i="74"/>
  <c r="J162" i="74"/>
  <c r="K162" i="74"/>
  <c r="I178" i="74"/>
  <c r="J164" i="74"/>
  <c r="K164" i="74"/>
  <c r="I175" i="74"/>
  <c r="K161" i="74"/>
  <c r="J161" i="74"/>
  <c r="I177" i="74"/>
  <c r="K163" i="74"/>
  <c r="J163" i="74"/>
  <c r="I26" i="74"/>
  <c r="I22" i="74"/>
  <c r="I21" i="74" s="1"/>
  <c r="I24" i="74" s="1"/>
  <c r="J71" i="74"/>
  <c r="K71" i="74"/>
  <c r="K57" i="74"/>
  <c r="J57" i="74"/>
  <c r="K41" i="74"/>
  <c r="J41" i="74"/>
  <c r="J23" i="74"/>
  <c r="K23" i="74"/>
  <c r="K17" i="74"/>
  <c r="K27" i="74"/>
  <c r="J27" i="74"/>
  <c r="J32" i="74"/>
  <c r="K32" i="74"/>
  <c r="I74" i="73"/>
  <c r="J74" i="73"/>
  <c r="J39" i="73"/>
  <c r="I157" i="73"/>
  <c r="J157" i="73"/>
  <c r="I158" i="73"/>
  <c r="J158" i="73"/>
  <c r="I154" i="73"/>
  <c r="J154" i="73"/>
  <c r="I155" i="73"/>
  <c r="J155" i="73"/>
  <c r="I156" i="73"/>
  <c r="J156" i="73"/>
  <c r="F152" i="73"/>
  <c r="F16" i="73"/>
  <c r="I39" i="73"/>
  <c r="I138" i="73"/>
  <c r="G16" i="73"/>
  <c r="I69" i="73"/>
  <c r="I18" i="73"/>
  <c r="G152" i="73"/>
  <c r="H152" i="73"/>
  <c r="J152" i="73" s="1"/>
  <c r="I145" i="73"/>
  <c r="I17" i="73"/>
  <c r="H68" i="73"/>
  <c r="J68" i="73" s="1"/>
  <c r="J177" i="74" l="1"/>
  <c r="K177" i="74"/>
  <c r="J178" i="74"/>
  <c r="K178" i="74"/>
  <c r="I172" i="74"/>
  <c r="K158" i="74"/>
  <c r="J158" i="74"/>
  <c r="K175" i="74"/>
  <c r="J175" i="74"/>
  <c r="K176" i="74"/>
  <c r="J176" i="74"/>
  <c r="J174" i="74"/>
  <c r="K174" i="74"/>
  <c r="J24" i="74"/>
  <c r="K24" i="74"/>
  <c r="K70" i="74"/>
  <c r="J70" i="74"/>
  <c r="J22" i="74"/>
  <c r="K22" i="74"/>
  <c r="J26" i="74"/>
  <c r="K26" i="74"/>
  <c r="I152" i="73"/>
  <c r="I68" i="73"/>
  <c r="H67" i="73"/>
  <c r="J67" i="73" s="1"/>
  <c r="J172" i="74" l="1"/>
  <c r="K172" i="74"/>
  <c r="K21" i="74"/>
  <c r="J21" i="74"/>
  <c r="J16" i="74"/>
  <c r="K16" i="74"/>
  <c r="I67" i="73"/>
  <c r="H16" i="73"/>
  <c r="E42" i="124" l="1"/>
  <c r="D39" i="123"/>
  <c r="D40" i="123"/>
  <c r="D54" i="123"/>
  <c r="D35" i="123"/>
  <c r="D30" i="123"/>
  <c r="D14" i="123" s="1"/>
  <c r="G54" i="94"/>
  <c r="G35" i="94"/>
  <c r="G40" i="94"/>
  <c r="G30" i="94"/>
  <c r="G14" i="94" s="1"/>
  <c r="G39" i="94"/>
  <c r="G43" i="94"/>
  <c r="I12" i="79"/>
  <c r="J12" i="79" s="1"/>
  <c r="E19" i="80"/>
  <c r="I58" i="80"/>
  <c r="J58" i="80" s="1"/>
  <c r="I22" i="79"/>
  <c r="J22" i="79" s="1"/>
  <c r="I16" i="73"/>
  <c r="J16" i="73"/>
  <c r="I42" i="124" l="1"/>
  <c r="J42" i="124"/>
  <c r="D32" i="123"/>
  <c r="D10" i="123"/>
  <c r="D42" i="123"/>
  <c r="D49" i="123"/>
  <c r="G49" i="94"/>
  <c r="G10" i="94"/>
  <c r="D39" i="94"/>
  <c r="D54" i="94"/>
  <c r="D49" i="94"/>
  <c r="D40" i="94"/>
  <c r="D35" i="94"/>
  <c r="D30" i="94"/>
  <c r="D14" i="94" s="1"/>
  <c r="G42" i="94"/>
  <c r="I15" i="79"/>
  <c r="J15" i="79" s="1"/>
  <c r="G32" i="94"/>
  <c r="E22" i="79"/>
  <c r="E12" i="79"/>
  <c r="E45" i="94"/>
  <c r="E72" i="80"/>
  <c r="E71" i="80" s="1"/>
  <c r="E58" i="80"/>
  <c r="E19" i="79"/>
  <c r="D12" i="79"/>
  <c r="H12" i="79" s="1"/>
  <c r="D58" i="80"/>
  <c r="H58" i="80" s="1"/>
  <c r="E21" i="80"/>
  <c r="E20" i="80" s="1"/>
  <c r="I19" i="79"/>
  <c r="J19" i="79" s="1"/>
  <c r="G19" i="80"/>
  <c r="D22" i="79"/>
  <c r="H22" i="79" s="1"/>
  <c r="D19" i="79"/>
  <c r="H19" i="79" s="1"/>
  <c r="D23" i="80"/>
  <c r="H23" i="80" s="1"/>
  <c r="E43" i="80"/>
  <c r="E66" i="80"/>
  <c r="E68" i="80"/>
  <c r="I9" i="80"/>
  <c r="E50" i="94"/>
  <c r="D15" i="79"/>
  <c r="H15" i="79" s="1"/>
  <c r="E50" i="123" l="1"/>
  <c r="E45" i="123"/>
  <c r="D31" i="123"/>
  <c r="D41" i="123"/>
  <c r="E54" i="124"/>
  <c r="E53" i="124"/>
  <c r="D10" i="94"/>
  <c r="G31" i="94"/>
  <c r="F50" i="94"/>
  <c r="F45" i="94"/>
  <c r="D32" i="94"/>
  <c r="D42" i="94"/>
  <c r="D50" i="94"/>
  <c r="D45" i="94"/>
  <c r="G41" i="94"/>
  <c r="E44" i="94"/>
  <c r="E26" i="80"/>
  <c r="E15" i="79"/>
  <c r="I56" i="80"/>
  <c r="J56" i="80" s="1"/>
  <c r="I55" i="80"/>
  <c r="J55" i="80" s="1"/>
  <c r="J9" i="80"/>
  <c r="I10" i="80"/>
  <c r="J10" i="80" s="1"/>
  <c r="G21" i="80"/>
  <c r="H21" i="80" s="1"/>
  <c r="I14" i="79"/>
  <c r="J14" i="79" s="1"/>
  <c r="G43" i="80"/>
  <c r="H43" i="80" s="1"/>
  <c r="G66" i="80"/>
  <c r="H19" i="80"/>
  <c r="G68" i="80"/>
  <c r="D9" i="80"/>
  <c r="E9" i="80"/>
  <c r="D45" i="123"/>
  <c r="E44" i="123" l="1"/>
  <c r="D50" i="123"/>
  <c r="D44" i="123" s="1"/>
  <c r="F45" i="123"/>
  <c r="F50" i="123"/>
  <c r="D54" i="124"/>
  <c r="H54" i="124" s="1"/>
  <c r="D53" i="124"/>
  <c r="H53" i="124" s="1"/>
  <c r="I54" i="124"/>
  <c r="J54" i="124"/>
  <c r="D12" i="123"/>
  <c r="J53" i="124"/>
  <c r="I53" i="124"/>
  <c r="G20" i="80"/>
  <c r="G26" i="80" s="1"/>
  <c r="F44" i="94"/>
  <c r="D44" i="94"/>
  <c r="D31" i="94"/>
  <c r="G50" i="94"/>
  <c r="G45" i="94"/>
  <c r="D41" i="94"/>
  <c r="E14" i="79"/>
  <c r="E10" i="80"/>
  <c r="E55" i="80"/>
  <c r="E56" i="80"/>
  <c r="D56" i="80"/>
  <c r="H56" i="80" s="1"/>
  <c r="D55" i="80"/>
  <c r="H55" i="80" s="1"/>
  <c r="H9" i="80"/>
  <c r="D10" i="80"/>
  <c r="H10" i="80" s="1"/>
  <c r="H68" i="80"/>
  <c r="H66" i="80"/>
  <c r="I19" i="80"/>
  <c r="D14" i="79"/>
  <c r="H14" i="79" s="1"/>
  <c r="I21" i="80"/>
  <c r="J21" i="80" s="1"/>
  <c r="F44" i="123" l="1"/>
  <c r="G50" i="123"/>
  <c r="G45" i="123"/>
  <c r="E34" i="124"/>
  <c r="D11" i="123"/>
  <c r="H20" i="80"/>
  <c r="G44" i="94"/>
  <c r="E12" i="94"/>
  <c r="G11" i="94"/>
  <c r="G12" i="94"/>
  <c r="D12" i="94"/>
  <c r="H26" i="80"/>
  <c r="I20" i="80"/>
  <c r="I43" i="80"/>
  <c r="J43" i="80" s="1"/>
  <c r="I66" i="80"/>
  <c r="J66" i="80" s="1"/>
  <c r="J19" i="80"/>
  <c r="I68" i="80"/>
  <c r="J68" i="80" s="1"/>
  <c r="G44" i="123" l="1"/>
  <c r="E35" i="124"/>
  <c r="I34" i="124"/>
  <c r="J34" i="124"/>
  <c r="E55" i="124"/>
  <c r="E56" i="124"/>
  <c r="D11" i="94"/>
  <c r="J20" i="80"/>
  <c r="I26" i="80"/>
  <c r="J56" i="124" l="1"/>
  <c r="I56" i="124"/>
  <c r="I55" i="124"/>
  <c r="J55" i="124"/>
  <c r="I35" i="124"/>
  <c r="J35" i="124"/>
  <c r="E52" i="124"/>
  <c r="J26" i="80"/>
  <c r="D56" i="124" l="1"/>
  <c r="H56" i="124" s="1"/>
  <c r="D55" i="124"/>
  <c r="H55" i="124" s="1"/>
  <c r="I52" i="124"/>
  <c r="J52" i="124"/>
  <c r="D52" i="124" l="1"/>
  <c r="H52" i="124" s="1"/>
  <c r="K52" i="124" l="1"/>
  <c r="I72" i="80" l="1"/>
  <c r="I71" i="80" l="1"/>
  <c r="J71" i="80" s="1"/>
  <c r="J72" i="80"/>
  <c r="G54" i="129"/>
  <c r="I54" i="129" l="1"/>
  <c r="L54" i="129"/>
  <c r="G17" i="129"/>
  <c r="I17" i="129" s="1"/>
  <c r="G16" i="129" l="1"/>
  <c r="I16" i="129" l="1"/>
  <c r="K17" i="129" l="1"/>
  <c r="L17" i="129" s="1"/>
  <c r="K16" i="129" l="1"/>
  <c r="L16" i="129" s="1"/>
</calcChain>
</file>

<file path=xl/comments1.xml><?xml version="1.0" encoding="utf-8"?>
<comments xmlns="http://schemas.openxmlformats.org/spreadsheetml/2006/main">
  <authors>
    <author>VNN.R9</author>
  </authors>
  <commentList>
    <comment ref="K131" authorId="0" shapeId="0">
      <text>
        <r>
          <rPr>
            <sz val="9"/>
            <color indexed="81"/>
            <rFont val="Tahoma"/>
            <family val="2"/>
          </rPr>
          <t xml:space="preserve">Đã cập nhập ngày 29/11
</t>
        </r>
      </text>
    </comment>
  </commentList>
</comments>
</file>

<file path=xl/sharedStrings.xml><?xml version="1.0" encoding="utf-8"?>
<sst xmlns="http://schemas.openxmlformats.org/spreadsheetml/2006/main" count="5057" uniqueCount="781">
  <si>
    <t>Giáo dục</t>
  </si>
  <si>
    <t>Học sinh</t>
  </si>
  <si>
    <t>Cháu</t>
  </si>
  <si>
    <t>Giờ</t>
  </si>
  <si>
    <t>ĐVT</t>
  </si>
  <si>
    <t xml:space="preserve">Tấn </t>
  </si>
  <si>
    <t>Tạ/ha</t>
  </si>
  <si>
    <t>Cây lương thực</t>
  </si>
  <si>
    <t>Tổng sản lượng lương thực (Có hạt)</t>
  </si>
  <si>
    <r>
      <t xml:space="preserve">Trong đó </t>
    </r>
    <r>
      <rPr>
        <sz val="12"/>
        <rFont val="Times New Roman"/>
        <family val="1"/>
      </rPr>
      <t>: + Thóc</t>
    </r>
  </si>
  <si>
    <t>Lương thực bq đầu người</t>
  </si>
  <si>
    <t>Năng suất</t>
  </si>
  <si>
    <t>Sản lượng</t>
  </si>
  <si>
    <t>Cây sắn</t>
  </si>
  <si>
    <t>Cây bời lời</t>
  </si>
  <si>
    <t>Tổng đàn gia cầm</t>
  </si>
  <si>
    <t>%</t>
  </si>
  <si>
    <t>a</t>
  </si>
  <si>
    <t>b</t>
  </si>
  <si>
    <t>c</t>
  </si>
  <si>
    <t>Ha</t>
  </si>
  <si>
    <t>I</t>
  </si>
  <si>
    <t>II</t>
  </si>
  <si>
    <t>A</t>
  </si>
  <si>
    <t>B</t>
  </si>
  <si>
    <t>III</t>
  </si>
  <si>
    <t>IV</t>
  </si>
  <si>
    <t>"</t>
  </si>
  <si>
    <t>V</t>
  </si>
  <si>
    <t>VI</t>
  </si>
  <si>
    <t>d</t>
  </si>
  <si>
    <t>Con</t>
  </si>
  <si>
    <t>STT</t>
  </si>
  <si>
    <t>*</t>
  </si>
  <si>
    <t>Kg</t>
  </si>
  <si>
    <t xml:space="preserve"> - Trung học cơ sở</t>
  </si>
  <si>
    <t xml:space="preserve"> - Trung học phổ thông</t>
  </si>
  <si>
    <t>Xã</t>
  </si>
  <si>
    <t>Hộ</t>
  </si>
  <si>
    <t>VII</t>
  </si>
  <si>
    <t>1000m3</t>
  </si>
  <si>
    <t>Đơn vị tính</t>
  </si>
  <si>
    <t>Chỉ tiêu</t>
  </si>
  <si>
    <t>Trong đó:</t>
  </si>
  <si>
    <t>Dân số trung bình</t>
  </si>
  <si>
    <t>Người</t>
  </si>
  <si>
    <t>Ghi chú</t>
  </si>
  <si>
    <t>Tấn</t>
  </si>
  <si>
    <t>Chăn nuôi</t>
  </si>
  <si>
    <t>Lâm nghiệp</t>
  </si>
  <si>
    <t>CÔNG NGHIỆP</t>
  </si>
  <si>
    <t>LĐ</t>
  </si>
  <si>
    <t>Cây lâu năm</t>
  </si>
  <si>
    <t>Trong đó: Trồng mới</t>
  </si>
  <si>
    <t xml:space="preserve">                DT cho sản phẩm</t>
  </si>
  <si>
    <t xml:space="preserve">                Năng suất (nhân)</t>
  </si>
  <si>
    <t xml:space="preserve">                Năng suất</t>
  </si>
  <si>
    <t>Tr.đồng</t>
  </si>
  <si>
    <t>Dân số có mặt đầu năm</t>
  </si>
  <si>
    <t>Dân số có mặt cuối năm</t>
  </si>
  <si>
    <t>Cây thực phẩm (rau, đậu các loại)</t>
  </si>
  <si>
    <t xml:space="preserve">                  + Ngô</t>
  </si>
  <si>
    <t>Trường</t>
  </si>
  <si>
    <t>Tỷ lệ trường đạt chuẩn quốc gia</t>
  </si>
  <si>
    <t>Giường</t>
  </si>
  <si>
    <t>-</t>
  </si>
  <si>
    <t>Lao động và việc làm</t>
  </si>
  <si>
    <t>PHỤ LỤC</t>
  </si>
  <si>
    <t>PHẦN THỨ NHẤT: KINH TẾ</t>
  </si>
  <si>
    <t>Tổng sản lượng lương thực có hạt</t>
  </si>
  <si>
    <t>%o</t>
  </si>
  <si>
    <t>Tỷ lệ thôn, khối phố văn hoá</t>
  </si>
  <si>
    <t>Tổng thu ngân sách nhà nước</t>
  </si>
  <si>
    <t>Trong đó: Thu NSNN trên địa bàn</t>
  </si>
  <si>
    <t>Tổng chi ngân sách nhà nước</t>
  </si>
  <si>
    <t>Trong đó: Chi cân đối ngân sách huyện</t>
  </si>
  <si>
    <t>C</t>
  </si>
  <si>
    <t>Tình hình sản xuất NLTS</t>
  </si>
  <si>
    <t>Cây ăn quả</t>
  </si>
  <si>
    <t>D</t>
  </si>
  <si>
    <t>Công nghiệp</t>
  </si>
  <si>
    <t>Tổng mức bán lẻ hàng hoá và DVXH</t>
  </si>
  <si>
    <t>Tỷ lệ bao phủ bảo hiểm y tế</t>
  </si>
  <si>
    <t>Mầm non</t>
  </si>
  <si>
    <t>Nhà trẻ</t>
  </si>
  <si>
    <t>Mẫu giáo</t>
  </si>
  <si>
    <t>Văn hoá, thông tin, truyền thanh, truyền hình</t>
  </si>
  <si>
    <t>Phát thanh truyền hình</t>
  </si>
  <si>
    <t>Tổng số giờ phát thanh</t>
  </si>
  <si>
    <t>Tổng số giờ phát hình</t>
  </si>
  <si>
    <t>Văn hóa thông tin</t>
  </si>
  <si>
    <t>2.1</t>
  </si>
  <si>
    <t xml:space="preserve"> Hộ gia đình được công nhận GĐVH</t>
  </si>
  <si>
    <t>Gia đình</t>
  </si>
  <si>
    <t>Tỷ lệ hộ đạt gia đình văn hóa</t>
  </si>
  <si>
    <t>2.2</t>
  </si>
  <si>
    <t>Thôn, khối phố văn hoá</t>
  </si>
  <si>
    <t>Thôn, KP</t>
  </si>
  <si>
    <t>2.3</t>
  </si>
  <si>
    <t xml:space="preserve">Cơ quan, đơn vị văn hoá </t>
  </si>
  <si>
    <t>Cq, Đv</t>
  </si>
  <si>
    <t>Tổng số hộ cuối năm</t>
  </si>
  <si>
    <t>TRỒNG TRỌT</t>
  </si>
  <si>
    <t>CHĂN NUÔI</t>
  </si>
  <si>
    <t>Tiểu học</t>
  </si>
  <si>
    <t>Trung học cơ sở</t>
  </si>
  <si>
    <t>THỦY SẢN</t>
  </si>
  <si>
    <t>Trong đó</t>
  </si>
  <si>
    <t>Giảm nghèo</t>
  </si>
  <si>
    <t>Các chỉ tiêu kinh tế</t>
  </si>
  <si>
    <t>Tỷ lệ tuyển quân đạt chỉ tiêu giao</t>
  </si>
  <si>
    <t>Tỷ lệ lao động được đào tạo so với tổng số lao động</t>
  </si>
  <si>
    <t>- Năng suất</t>
  </si>
  <si>
    <t>- Sản lượng</t>
  </si>
  <si>
    <t>Cây mía tổng số</t>
  </si>
  <si>
    <t xml:space="preserve">                Sản  lượng</t>
  </si>
  <si>
    <t xml:space="preserve">                DT phá bỏ</t>
  </si>
  <si>
    <t>Đàn trâu</t>
  </si>
  <si>
    <t>Đàn bò</t>
  </si>
  <si>
    <t>Đàn heo</t>
  </si>
  <si>
    <t>Thủy sản</t>
  </si>
  <si>
    <t>Diện tích thủy sản</t>
  </si>
  <si>
    <t>Sản lượng thủy sản</t>
  </si>
  <si>
    <t xml:space="preserve"> - Sản lượng nuôi trồng</t>
  </si>
  <si>
    <t xml:space="preserve"> - Sản lượng khai thác</t>
  </si>
  <si>
    <t>- Trồng rừng tập trung (trồng mới)</t>
  </si>
  <si>
    <t>Triệu đồng</t>
  </si>
  <si>
    <t>Thu chi ngân sách nhà nước</t>
  </si>
  <si>
    <t>Sản phẩm công nghiệp chủ yếu</t>
  </si>
  <si>
    <t>Đá xây dựng</t>
  </si>
  <si>
    <t>Tinh bột sắn</t>
  </si>
  <si>
    <t>Cồn công nghiệp</t>
  </si>
  <si>
    <t>Điện sản xuất</t>
  </si>
  <si>
    <t xml:space="preserve">Điện thương phẩm </t>
  </si>
  <si>
    <t>Dân số trung bình trong năm</t>
  </si>
  <si>
    <t>Cát, sỏi</t>
  </si>
  <si>
    <t xml:space="preserve"> Chia ra: </t>
  </si>
  <si>
    <t>Trung học phổ thông</t>
  </si>
  <si>
    <t>+ Mầm non</t>
  </si>
  <si>
    <t>+ Tiểu học (I)</t>
  </si>
  <si>
    <t>+ Trung học cơ sở (II)</t>
  </si>
  <si>
    <t>+ Trung học phổ thông (III)</t>
  </si>
  <si>
    <t>+ Trung học cơ sở + phổ thông (II+III)</t>
  </si>
  <si>
    <t>Tổng số trường đạt chuẩn quốc gia</t>
  </si>
  <si>
    <t>Trạm</t>
  </si>
  <si>
    <t>Y tế</t>
  </si>
  <si>
    <t>Tổng số giường bệnh</t>
  </si>
  <si>
    <t>Dân số, kế hoạch hóa gia đình</t>
  </si>
  <si>
    <t>Tổng số hộ đầu năm</t>
  </si>
  <si>
    <t>2.4</t>
  </si>
  <si>
    <t>Mức giảm tỷ lệ hộ nghèo trong năm (chuẩn mới)</t>
  </si>
  <si>
    <t>Số xã có nhà văn hóa trung tâm</t>
  </si>
  <si>
    <t>Số lao động nông thôn được đào tạo nghề trong năm (theo Quyết định số 1956/QĐ-TTg)</t>
  </si>
  <si>
    <t>&gt;2,49</t>
  </si>
  <si>
    <t>Thực hiện năm 2016</t>
  </si>
  <si>
    <t>Kế hoạch năm 2018</t>
  </si>
  <si>
    <t>&gt;3</t>
  </si>
  <si>
    <t>Tổng số học sinh đầu năm học</t>
  </si>
  <si>
    <t>Huy động HS ra lớp các cấp học</t>
  </si>
  <si>
    <t>THCS</t>
  </si>
  <si>
    <t>Tỷ lệ tăng dân số tự nhiên</t>
  </si>
  <si>
    <t>Tỷ lệ lao động qua đào tạo</t>
  </si>
  <si>
    <t>Trong đó: Lao động qua đào tạo nghề</t>
  </si>
  <si>
    <t>Tỷ lệ hộ nghèo</t>
  </si>
  <si>
    <t>Giải quyết việc làm cho số lao động/năm</t>
  </si>
  <si>
    <t>Lao động</t>
  </si>
  <si>
    <t>Tổng số trường học</t>
  </si>
  <si>
    <t>Trong đó: Nhà trẻ</t>
  </si>
  <si>
    <t>(Kèm theo báo cáo số          /BC-UBND, ngày             tháng       năm 2017 của UBND huyện Đăk Tô)</t>
  </si>
  <si>
    <t xml:space="preserve">Tổng DT gieo trồng </t>
  </si>
  <si>
    <t>Cây có hạt chứa dầu (lạc)</t>
  </si>
  <si>
    <t>Hoa cây cảnh</t>
  </si>
  <si>
    <t>Cây làm thức ăn gia súc (cỏ voi)</t>
  </si>
  <si>
    <t>Cây điều</t>
  </si>
  <si>
    <t>Hồ tiêu</t>
  </si>
  <si>
    <t>Chè búp</t>
  </si>
  <si>
    <t>Cây gia vị (ca ri)</t>
  </si>
  <si>
    <t>Cây mác ca</t>
  </si>
  <si>
    <t>Cây lâu năm khác (điều, hồ tiêu, mác ca…)</t>
  </si>
  <si>
    <t>Cây hàng năm khác (lạc, cây cảnh, cỏ voi…)</t>
  </si>
  <si>
    <t>Tỷ lệ trẻ em dưới 5 tuổi bị suy dinh dưỡng (chiều cao theo tuổi)</t>
  </si>
  <si>
    <t>Tỷ lệ trẻ em dưới 5 tuổi bị suy dinh dưỡng (cân nặng theo tuổi)</t>
  </si>
  <si>
    <t>Thực hiện năm 2017</t>
  </si>
  <si>
    <t>a1</t>
  </si>
  <si>
    <t>a2</t>
  </si>
  <si>
    <t>b1</t>
  </si>
  <si>
    <t>b2</t>
  </si>
  <si>
    <t xml:space="preserve">                 Trong đó: công lập</t>
  </si>
  <si>
    <t>Bổ túc văn hóa</t>
  </si>
  <si>
    <t>So sánh TH/KH (%)</t>
  </si>
  <si>
    <t>Diện tích cây hàng năm</t>
  </si>
  <si>
    <t>Lúa cả năm</t>
  </si>
  <si>
    <t>- Lúa Đông xuân</t>
  </si>
  <si>
    <t>- Lúa vụ mùa</t>
  </si>
  <si>
    <t>+ Lúa ruộng</t>
  </si>
  <si>
    <t>Ngô cả năm</t>
  </si>
  <si>
    <t xml:space="preserve">Cây cà phê </t>
  </si>
  <si>
    <t xml:space="preserve">Cây cao su </t>
  </si>
  <si>
    <t>Tổng đàn gia súc</t>
  </si>
  <si>
    <t>Cây công nghiệp</t>
  </si>
  <si>
    <t>Giá trị sản xuất (giá cố định 2010)</t>
  </si>
  <si>
    <t>Thương mại</t>
  </si>
  <si>
    <t>Trạm y tế đạt chuẩn quốc gia</t>
  </si>
  <si>
    <t>Tỷ lệ trạm y tế đạt chuẩn quốc gia</t>
  </si>
  <si>
    <t>6=4/5</t>
  </si>
  <si>
    <t>PHẦN HAI: VĂN HOÁ - XÃ HỘI</t>
  </si>
  <si>
    <t>Trong đó: Điều tiết huyện hưởng</t>
  </si>
  <si>
    <t>+ Lúa nà,rẫy</t>
  </si>
  <si>
    <t>- Ngô vụ xuân</t>
  </si>
  <si>
    <t>- Ngô vụ mùa</t>
  </si>
  <si>
    <t>* Rau đậu vụ đông xuân</t>
  </si>
  <si>
    <t>* Rau đậu vụ mùa</t>
  </si>
  <si>
    <t>Phụ lục</t>
  </si>
  <si>
    <t>(Kèm theo Báo cáo số       /BC-UBND, ngày        tháng    năm 2018 của UBND huyện Đăk Tô)</t>
  </si>
  <si>
    <t>Trong đó: Thu trên địa bàn</t>
  </si>
  <si>
    <t xml:space="preserve">        Điều tiết được hưởng</t>
  </si>
  <si>
    <t>6=5/4</t>
  </si>
  <si>
    <t>1000 Kw/h</t>
  </si>
  <si>
    <t>ƯỚC KINH TẾ XÃ HỘI QUÝ I NĂM 2018</t>
  </si>
  <si>
    <t xml:space="preserve">Phát thanh truyền hình </t>
  </si>
  <si>
    <t xml:space="preserve">                DT phá bỏ (Kon Đào)</t>
  </si>
  <si>
    <t>Kế hoạch</t>
  </si>
  <si>
    <t>Cùng kỳ</t>
  </si>
  <si>
    <t>Thực hiện kỳ trước 
(QI- 2017)</t>
  </si>
  <si>
    <t>Ước thực hiện kỳ báo cáo 
(QI-2018)</t>
  </si>
  <si>
    <t xml:space="preserve">                Sản lượng</t>
  </si>
  <si>
    <t>So sánh (%)</t>
  </si>
  <si>
    <t>Biểu số 01</t>
  </si>
  <si>
    <t>Thực hiện 31/3/2018</t>
  </si>
  <si>
    <t>Ước 6 tháng năm 2018</t>
  </si>
  <si>
    <t>Thực hiện 6 tháng 2017</t>
  </si>
  <si>
    <t>8=7/4</t>
  </si>
  <si>
    <t>9=7/5</t>
  </si>
  <si>
    <t>Bảo vệ quyền lợi trẻ em</t>
  </si>
  <si>
    <t>Số xã, phương, thị trấn đạt tiêu chuẩn phù hợp với trẻ em</t>
  </si>
  <si>
    <t>Tỷ lệ trẻ em có hoàn cảnh ĐBKK được bảo vệ chăm sóc</t>
  </si>
  <si>
    <t>xã, phường, thị trấn</t>
  </si>
  <si>
    <t>Tạo việc làm thông qua CT vay vốn GQVL</t>
  </si>
  <si>
    <t>Xuất khẩu lao động</t>
  </si>
  <si>
    <t>Huy động học sinh ra lớp năm học 2017-2018</t>
  </si>
  <si>
    <t>Du lịch</t>
  </si>
  <si>
    <t>Tổng lượt khách</t>
  </si>
  <si>
    <t>Trong đó: khách quốc tế</t>
  </si>
  <si>
    <t>Tổng doanh thu</t>
  </si>
  <si>
    <t>Công suất sử dụng phòng</t>
  </si>
  <si>
    <t>Lượt</t>
  </si>
  <si>
    <t>Chăm sóc rừng trồng</t>
  </si>
  <si>
    <t>Khai thác gỗ</t>
  </si>
  <si>
    <t>m3</t>
  </si>
  <si>
    <t>Cây khác</t>
  </si>
  <si>
    <t>Số bác sỹ</t>
  </si>
  <si>
    <t>Bác sỹ</t>
  </si>
  <si>
    <t>Trồng rừng tập trung</t>
  </si>
  <si>
    <t>PHẦN BA:
QUỐC PHÒNG AN NINH</t>
  </si>
  <si>
    <t>Vụ mùa</t>
  </si>
  <si>
    <t>Vụ Đông xuân</t>
  </si>
  <si>
    <t>Ước tháng
 04/2018</t>
  </si>
  <si>
    <t>Tổng số học sinh</t>
  </si>
  <si>
    <t>Diện tích cây hàng năm (Vụ Đông Xuân)</t>
  </si>
  <si>
    <t>Cây sắn (chuẩn bị đất xuống giống)</t>
  </si>
  <si>
    <t>ƯỚC KINH TẾ XÃ HỘI THÁNG 4/2018</t>
  </si>
  <si>
    <t>ƯỚC THỰC HIỆN MỘT SỐ CHỈ TIÊU KINH TẾ - XÃ HỘI 6 THÁNG ĐẦU NĂM 2018</t>
  </si>
  <si>
    <t>Ước tháng
 05/2018</t>
  </si>
  <si>
    <t>IIII</t>
  </si>
  <si>
    <t>ƯỚC KINH TẾ XÃ HỘI THÁNG 5/2018</t>
  </si>
  <si>
    <t>Năm 2018</t>
  </si>
  <si>
    <t>Ước thực hiện cả năm</t>
  </si>
  <si>
    <t>Kế hoạch 2019</t>
  </si>
  <si>
    <t>Ước thực hiện 2018 so với thực hiện 2017 (%)</t>
  </si>
  <si>
    <t>Kế hoạch 2019 so với ước thực hiện 2018 (%)</t>
  </si>
  <si>
    <t>10=9/8</t>
  </si>
  <si>
    <t>KH 2019/ ước TH 2018 (%)</t>
  </si>
  <si>
    <t>Huyện Đăk Tô</t>
  </si>
  <si>
    <t>Biểu số 1</t>
  </si>
  <si>
    <t>CÁC CHỈ TIÊU KINH TẾ TỔNG HỢP</t>
  </si>
  <si>
    <t>TT</t>
  </si>
  <si>
    <t>Đơn vị</t>
  </si>
  <si>
    <t>Thực hiện  2017</t>
  </si>
  <si>
    <t>Tổng mức bán lẻ hàng hoá và doanh thu dịch vụ tiêu dùng trên địa bàn</t>
  </si>
  <si>
    <t>Thu Ngân sách Nhà nước trên địa bàn (không bao gồm số bổ sung từ NSTW)</t>
  </si>
  <si>
    <t>Thu thuế xuất, nhập khẩu</t>
  </si>
  <si>
    <t>Thu nội địa</t>
  </si>
  <si>
    <t>+ Thu từ kinh tế Trung ương</t>
  </si>
  <si>
    <t>+ Thu quốc doanh địa phương</t>
  </si>
  <si>
    <t>+ Thu ngoài quốc doanh</t>
  </si>
  <si>
    <t>+ Thu từ khu vực có vốn đầu tư nước ngoài</t>
  </si>
  <si>
    <t>Ngân sách Trung ương bổ sung cho ngân sách địa phương (hoặc điều tiết về Ngân sách Trung ương)</t>
  </si>
  <si>
    <t>Chi ngân sách địa phương</t>
  </si>
  <si>
    <t>a)</t>
  </si>
  <si>
    <t>Chi đầu tư phát triển do địa phương quản lý</t>
  </si>
  <si>
    <t>Vốn cân đối ngân sách địa phương</t>
  </si>
  <si>
    <t>+ Đầu tư từ nguồn thu tiền sử dụng đất</t>
  </si>
  <si>
    <t>+ Thu từ xổ số kiến thiết</t>
  </si>
  <si>
    <t>Hỗ trợ đầu tư theo các chương trình mục tiêu, chương trình mục tiêu quốc gia từ Ngân sách Trung ương</t>
  </si>
  <si>
    <t>Nguồn ngân sách khác</t>
  </si>
  <si>
    <t>b)</t>
  </si>
  <si>
    <t>Chi thường xuyên</t>
  </si>
  <si>
    <t>Tổng vốn đầu tư phát triển trên địa bàn</t>
  </si>
  <si>
    <t>Trung ương quản lý</t>
  </si>
  <si>
    <t>Địa phương quản lý</t>
  </si>
  <si>
    <t>Biểu số 2</t>
  </si>
  <si>
    <t>CÁC CHỈ TIÊU NÔNG NGHIỆP, CÔNG NGHIỆP, DỊCH VỤ, XUẤT NHẬP KHẨU</t>
  </si>
  <si>
    <t>NÔNG, LÂM NGHIỆP VÀ THUỶ SẢN</t>
  </si>
  <si>
    <t>Năng suất, sản lượng một số cây trồng chủ  yếu trên địa bàn</t>
  </si>
  <si>
    <t>Lúa cả năm:</t>
  </si>
  <si>
    <t>Ngô:</t>
  </si>
  <si>
    <t>c)</t>
  </si>
  <si>
    <t>Một số cây lâu năm:</t>
  </si>
  <si>
    <t>+</t>
  </si>
  <si>
    <t>Cà phê</t>
  </si>
  <si>
    <t>Cao su</t>
  </si>
  <si>
    <t>Sản phẩm chăn nuôi chủ yếu</t>
  </si>
  <si>
    <t>Thịt hơi các loại</t>
  </si>
  <si>
    <t xml:space="preserve">  Trong đó: Thịt lợn</t>
  </si>
  <si>
    <t>Diện tích rừng trồng mới tập trung</t>
  </si>
  <si>
    <t>Tỷ lệ che phủ rừng</t>
  </si>
  <si>
    <t>Sản lượng khai thác</t>
  </si>
  <si>
    <t>Sản lượng nuôi trồng</t>
  </si>
  <si>
    <t>Phát triển nông thôn</t>
  </si>
  <si>
    <t>Tỷ lệ dân số nông thôn được sử dụng nước hợp vệ sinh</t>
  </si>
  <si>
    <t>Số tiêu chí nông thôn mới bình quân đạt được bình quân/xã</t>
  </si>
  <si>
    <t>Tiêu chí</t>
  </si>
  <si>
    <t>Số xã đạt chuẩn nông thôn mới</t>
  </si>
  <si>
    <t>xã</t>
  </si>
  <si>
    <t>Tỷ lệ số xã đạt chuẩn nông thôn mới</t>
  </si>
  <si>
    <t>Giá trị sản xuất công nghiệp  theo giá so sánh năm 2010</t>
  </si>
  <si>
    <t>Triệu đồng</t>
  </si>
  <si>
    <t>Một số sản phẩm chủ yếu:</t>
  </si>
  <si>
    <t>DỊCH VỤ</t>
  </si>
  <si>
    <t>Tổng mức bán lẻ hàng hoá và doanh thu dịch vụ tiêu dùng (giá hiện hành)</t>
  </si>
  <si>
    <t>Biểu số 3</t>
  </si>
  <si>
    <t>CÁC CHỈ TIÊU XÃ HỘI</t>
  </si>
  <si>
    <t>DÂN SỐ</t>
  </si>
  <si>
    <t>Trong đó: Dân số nông thôn</t>
  </si>
  <si>
    <t>Dân số là dân tộc thiểu số</t>
  </si>
  <si>
    <t>Tuổi thọ trung bình</t>
  </si>
  <si>
    <t>Tuổi</t>
  </si>
  <si>
    <t>Tỷ số giới tính của trẻ em mới sinh</t>
  </si>
  <si>
    <t>Số bé trai/ 100 bé gái</t>
  </si>
  <si>
    <t>LAO ĐỘNG VÀ VIỆC LÀM</t>
  </si>
  <si>
    <t>Tổng số lao động đang làm việc</t>
  </si>
  <si>
    <t>Số lao động đi làm việc ở nước ngoài theo hợp đồng</t>
  </si>
  <si>
    <t>Số hộ nghèo</t>
  </si>
  <si>
    <t>Số hộ thiếu đói trong năm</t>
  </si>
  <si>
    <t>Mức giảm tỷ lệ hộ nghèo</t>
  </si>
  <si>
    <t>Số hộ cận nghèo</t>
  </si>
  <si>
    <t>Tỷ lệ hộ cận nghèo</t>
  </si>
  <si>
    <t>Số hộ thoát nghèo</t>
  </si>
  <si>
    <t>Số hộ tái nghèo</t>
  </si>
  <si>
    <t>CUNG CẤP CÁC DỊCH VỤ CƠ SỞ HẠ TẦNG THIẾT YẾU</t>
  </si>
  <si>
    <t>+ Số xã đặc biệt khó khăn (theo tiêu chuẩn của Chương trình 135)</t>
  </si>
  <si>
    <t>+ Số xã biên giới (nếu có)</t>
  </si>
  <si>
    <t>+ Số xã bãi ngang (nếu có)</t>
  </si>
  <si>
    <t>+ Số xã có đường ô tô đến trung tâm</t>
  </si>
  <si>
    <t>+ Tỷ lệ xã có đường ô tô đến trung tâm</t>
  </si>
  <si>
    <t>+ Số xã có trạm y tế</t>
  </si>
  <si>
    <t>+ Tỷ lệ xã có trạm y tế</t>
  </si>
  <si>
    <t>+ Số xã phường có nhà văn hoá, thư viện</t>
  </si>
  <si>
    <t>Xã, phường</t>
  </si>
  <si>
    <t>+ Số xã có bưu điện văn hoá xã</t>
  </si>
  <si>
    <t>+ Tỷ lệ xã có bưu điện văn hoá xã</t>
  </si>
  <si>
    <t>+ Số xã có chợ xã, liên xã</t>
  </si>
  <si>
    <t>+ Tỷ lệ xã có chợ xã, liên xã</t>
  </si>
  <si>
    <t>Số hộ được sử dụng điện</t>
  </si>
  <si>
    <t>Tỷ lệ hộ được sử dụng điện</t>
  </si>
  <si>
    <t>Số hộ được sử dụng nước hợp vệ sinh</t>
  </si>
  <si>
    <t>Tỷ lệ hộ được sử dụng nước hợp vệ sinh</t>
  </si>
  <si>
    <t xml:space="preserve">  Trong đó:</t>
  </si>
  <si>
    <t xml:space="preserve">  + Khu vực thành thị</t>
  </si>
  <si>
    <t xml:space="preserve">  + Khu vực nông thôn</t>
  </si>
  <si>
    <t>Y TẾ - XÃ HỘI</t>
  </si>
  <si>
    <t>Số người tham gia bảo hiểm xã hội bắt buộc</t>
  </si>
  <si>
    <t>Số giường bệnh/1 vạn dân (không tính giường trạm y tế xã)</t>
  </si>
  <si>
    <t>Số bác sỹ/1 vạn dân</t>
  </si>
  <si>
    <t>Tỷ lệ trạm y tế xã, phường, thị trấn có bác sỹ làm việc</t>
  </si>
  <si>
    <t>Tỷ lệ xã đạt tiêu chí quốc gia về y tế</t>
  </si>
  <si>
    <t>Tỷ suất tử vong trẻ em dưới 1 tuổi</t>
  </si>
  <si>
    <t>‰</t>
  </si>
  <si>
    <t>Tỷ lệ tử vong của trẻ em dưới 5 tuổi</t>
  </si>
  <si>
    <t xml:space="preserve">Tỷ lệ trẻ em dưới 5 tuổi suy dinh dưỡng (cân nặng theo tuổi) </t>
  </si>
  <si>
    <t>Số xã, phường, thị trấn đạt tiêu chuẩn phù hợp với trẻ em</t>
  </si>
  <si>
    <t>xã, phường</t>
  </si>
  <si>
    <t>Tỷ lệ xã, phường, thị trấn đạt tiêu chuẩn xã, phường phù hợp với trẻ em</t>
  </si>
  <si>
    <t>VĂN HOÁ</t>
  </si>
  <si>
    <t>- Thời lượng phát thanh bằng tiếng dân tộc</t>
  </si>
  <si>
    <t>Giờ/năm</t>
  </si>
  <si>
    <t>- Số hộ xem được Đài Truyền hình  Việt Nam</t>
  </si>
  <si>
    <t>- Tỷ lệ hộ xem được Đài Truyền hình Việt Nam</t>
  </si>
  <si>
    <t>- Số hộ nghe được Đài Tiếng nói Việt Nam</t>
  </si>
  <si>
    <t>- Tỷ lệ hộ nghe được Đài Tiếng nói Việt Nam</t>
  </si>
  <si>
    <t>GIÁO DỤC VÀ ĐÀO TẠO</t>
  </si>
  <si>
    <t>- Tổng số học sinh đầu năm học</t>
  </si>
  <si>
    <t xml:space="preserve">  + Mẫu giáo</t>
  </si>
  <si>
    <t xml:space="preserve">  + Tiểu học</t>
  </si>
  <si>
    <t xml:space="preserve">  + Trung học cơ sở</t>
  </si>
  <si>
    <t xml:space="preserve">  + Trung học phổ thông</t>
  </si>
  <si>
    <t>- Tỷ lệ trẻ em trong độ tuổi đi học mẫu giáo</t>
  </si>
  <si>
    <t>- Tỷ lệ học sinh đi học đúng độ tuổi:</t>
  </si>
  <si>
    <t>Biểu số 4</t>
  </si>
  <si>
    <t>CÁC CHỈ TIÊU MÔI TRƯỜNG VÀ PHÁT TRIỂN BỀN VỮNG</t>
  </si>
  <si>
    <t>Tỷ lệ chất thải rắn ở đô thị được thu gom</t>
  </si>
  <si>
    <t>Số cơ sở gây ô nhiễm môi trường nghiêm trọng được xử lý  (*)</t>
  </si>
  <si>
    <t>Số khu công nghiệp, khu chế xuất đang hoạt động</t>
  </si>
  <si>
    <t>Khu</t>
  </si>
  <si>
    <t>Số khu công nghiệp, khu chế xuất đang hoạt động có hệ thống xử lý nước thải tập trung đạt tiêu chuẩn môi trường</t>
  </si>
  <si>
    <t>Ghi chú: (*) Giai đoạn 2011-2015 thực hiện theo Quyết định số 64/2003/QĐ-TTg; giai đoạn 2016-2020 thực hiện theo Quyết định số 1788/QĐ-TTg ngày 01/10/2013 của Thủ tướng Chính phủ</t>
  </si>
  <si>
    <t>Biểu số 5</t>
  </si>
  <si>
    <t>CÁC CHỈ TIÊU PHÁT TRIỂN DOANH NGHIỆP VÀ KINH TẾ TẬP THỂ</t>
  </si>
  <si>
    <t>PHÁT TRIỂN DOANH NGHIỆP</t>
  </si>
  <si>
    <t>Doanh nghiệp 100% vốn nhà nước (DNNN)</t>
  </si>
  <si>
    <t>Số lượng doanh nghiệp</t>
  </si>
  <si>
    <t>Doanh nghiệp</t>
  </si>
  <si>
    <t>Tổng vốn chủ sở hữu tại doanh nghiệp</t>
  </si>
  <si>
    <t>Nộp ngân sách nhà nước</t>
  </si>
  <si>
    <t>Tổng lợi nhuận</t>
  </si>
  <si>
    <t>Hình thức sắp xếp doanh nghiệp</t>
  </si>
  <si>
    <t>- Số doanh nghiệp giữ nguyên 100% vốn nhà nước</t>
  </si>
  <si>
    <t>- Số doanh nghiệp thực hiện cổ phần hóa</t>
  </si>
  <si>
    <t>- Số doanh nghiệp sắp xếp theo hình thức khác (bán, hợp nhất, sáp nhập,…)</t>
  </si>
  <si>
    <t>Doanh nghiệp ngoài nhà nước</t>
  </si>
  <si>
    <t>Số doanh nghiệp đang hoạt động (lũy kế đến kỳ báo cáo)</t>
  </si>
  <si>
    <t>Trong đó: Số doanh nghiệp có phần vốn của nhà nước</t>
  </si>
  <si>
    <t>Số doanh nghiệp tư nhân trong nước đăng ký thành lập mới</t>
  </si>
  <si>
    <t>Tổng số vốn đăng ký của doanh nghiệp tư nhân trong nước</t>
  </si>
  <si>
    <t>Trong đó: Tổng vốn nhà nước đầu tư tại doanh nghiệp có phần vốn của nhà nước</t>
  </si>
  <si>
    <t>Số doanh nghiệp giải thể, ngừng hoạt động</t>
  </si>
  <si>
    <t>Số doanh nghiệp kinh doanh có lãi</t>
  </si>
  <si>
    <t>Số doanh nghiệp kinh doanh lỗ</t>
  </si>
  <si>
    <t>Tổng số lao động trong doanh nghiệp</t>
  </si>
  <si>
    <t>Thu nhập bình quân người lao động</t>
  </si>
  <si>
    <t>Tổng vốn đầu tư thực hiện</t>
  </si>
  <si>
    <t>Trong đó: Tổng vốn đầu tư thực hiện của doanh nghiệp có vốn nhà nước</t>
  </si>
  <si>
    <t>Tổng tài sản</t>
  </si>
  <si>
    <t>Tổng vốn chủ sở hữu</t>
  </si>
  <si>
    <t>Tổng lỗ</t>
  </si>
  <si>
    <t>Tổng đóng góp ngân sách nhà nước</t>
  </si>
  <si>
    <t>Tổng ngân sách nhà nước hỗ trợ doanh nghiệp nhỏ và vừa</t>
  </si>
  <si>
    <t>PHÁT TRIỂN KINH TẾ TẬP THỂ</t>
  </si>
  <si>
    <t>Hợp tác xã</t>
  </si>
  <si>
    <t>Số hợp tác xã thành lập mới</t>
  </si>
  <si>
    <t>Số hợp tác xã giải thể</t>
  </si>
  <si>
    <t>Tổng số thành viên hợp tác xã</t>
  </si>
  <si>
    <t>Tổng số lao động trong hợp tác xã</t>
  </si>
  <si>
    <t>Trong đó: Số lao động là thành viên hợp tác xã</t>
  </si>
  <si>
    <t>Tổng doanh thu của hợp tác xã</t>
  </si>
  <si>
    <t>Trong đó: doanh thu của HTX từ thành viên</t>
  </si>
  <si>
    <t>Thu nhập bình quân người lao động hợp tác xã</t>
  </si>
  <si>
    <t>Liên hiệp hợp tác xã</t>
  </si>
  <si>
    <t>Tổng số liên hiệp hợp tác xã</t>
  </si>
  <si>
    <t>Trong đó: Số liên hiệp hợp tác xã thành lập mới</t>
  </si>
  <si>
    <t xml:space="preserve">Tổ hợp tác </t>
  </si>
  <si>
    <t>Tổng số tổ hợp tác</t>
  </si>
  <si>
    <t>Tổ hợp tác</t>
  </si>
  <si>
    <t>Trong đó: Số tổ hợp tác đăng ký chứng thực</t>
  </si>
  <si>
    <t xml:space="preserve">Tổng số thành viên tổ hợp tác </t>
  </si>
  <si>
    <t>Thành viên</t>
  </si>
  <si>
    <r>
      <t xml:space="preserve">GIẢM NGHÈO 
</t>
    </r>
    <r>
      <rPr>
        <sz val="12"/>
        <rFont val="Times New Roman"/>
        <family val="1"/>
      </rPr>
      <t>(theo chuẩn nghèo tiếp cận đa chiều)</t>
    </r>
  </si>
  <si>
    <t>Ước 2018/ TH 2017 (%)</t>
  </si>
  <si>
    <t xml:space="preserve">           Trong đó: Nhà trẻ</t>
  </si>
  <si>
    <t xml:space="preserve">                          Trong đó: Công lập</t>
  </si>
  <si>
    <t>Tổng số xã của toàn huyện</t>
  </si>
  <si>
    <t>Tổng số hợp tác xã</t>
  </si>
  <si>
    <t>- Tỷ lệ che phủ rừng</t>
  </si>
  <si>
    <t>- Tổng diện tích tự nhiên</t>
  </si>
  <si>
    <t>- Diện tích đất có rừng</t>
  </si>
  <si>
    <t>Tổng số hộ của toàn huyện</t>
  </si>
  <si>
    <t>CHI TIẾT CÁC CHỈ TIÊU NÔNG NGHIỆP NĂM 2018 VÀ KẾ HOẠCH NĂM 2019</t>
  </si>
  <si>
    <t>Biểu số 2a</t>
  </si>
  <si>
    <t>ƯỚC KINH TẾ XÃ HỘI THÁNG 7/2018</t>
  </si>
  <si>
    <t>Ước tháng
 07/2018</t>
  </si>
  <si>
    <t>ƯỚC KINH TẾ XÃ HỘI THÁNG 8/2018</t>
  </si>
  <si>
    <t>Ước tháng
 08/2018</t>
  </si>
  <si>
    <t xml:space="preserve">               Phá bỏ</t>
  </si>
  <si>
    <t>Chanh dây tổng số</t>
  </si>
  <si>
    <t>Thực hiện 31/8/2018</t>
  </si>
  <si>
    <t>(Kèm theo báo cáo số          /BC-UBND, ngày             tháng       năm 2018 của UBND huyện Đăk Tô)</t>
  </si>
  <si>
    <t>Tỷ lệ dân cư nông thôn sử dụng nước hợp vệ sinh</t>
  </si>
  <si>
    <t>Thực hiện 9 tháng 2017</t>
  </si>
  <si>
    <t>Thực hiện 9 tháng 2018</t>
  </si>
  <si>
    <t>BÁO CÁO ƯỚC KINH TẾ - XÃ HỘI 9 THÁNG NĂM 2018</t>
  </si>
  <si>
    <t>TH/ KH năm 2018</t>
  </si>
  <si>
    <t>Thực hiện/ cùng kỳ 2017</t>
  </si>
  <si>
    <t>7=6/5</t>
  </si>
  <si>
    <t xml:space="preserve"> - Xoài</t>
  </si>
  <si>
    <t xml:space="preserve"> - Chuối</t>
  </si>
  <si>
    <t xml:space="preserve"> - Bơ</t>
  </si>
  <si>
    <t xml:space="preserve"> - Sầu riêng</t>
  </si>
  <si>
    <t xml:space="preserve"> - Cam</t>
  </si>
  <si>
    <t xml:space="preserve"> - Chanh</t>
  </si>
  <si>
    <t xml:space="preserve"> - Cây ăn quả có múi khác (Chanh dây)</t>
  </si>
  <si>
    <t>Xoài, cây AQ nhiệt đới,CNĐ</t>
  </si>
  <si>
    <t>Cam, quýt &amp; CL quả có múi khác</t>
  </si>
  <si>
    <t>e</t>
  </si>
  <si>
    <t>Táo, mận và CL quả có hạt</t>
  </si>
  <si>
    <t>Nhãn, vải, chôm chôm (nhãn)</t>
  </si>
  <si>
    <t>Cây ăn quả khác</t>
  </si>
  <si>
    <t>Tỷ lệ tham gia bảo hiểm xã hội</t>
  </si>
  <si>
    <t>Tỷ lệ tham gia bảo hiểm thất nghiệp</t>
  </si>
  <si>
    <t>Tỷ lệ tham gia bảo hiểm y tế</t>
  </si>
  <si>
    <t>(Kèm theo báo cáo số 270/BC-UBND, ngày 04 tháng 10 năm 2018 của UBND huyện Đăk Tô)</t>
  </si>
  <si>
    <t>Phụ lục 01</t>
  </si>
  <si>
    <t>Các chỉ tiêu (theo KH giao)</t>
  </si>
  <si>
    <t>5=4/1</t>
  </si>
  <si>
    <t>6=3/2</t>
  </si>
  <si>
    <t>7=4/2</t>
  </si>
  <si>
    <t>Tổng sản phẩm (GDP)</t>
  </si>
  <si>
    <t>Nông, lâm, thuỷ sản</t>
  </si>
  <si>
    <t xml:space="preserve">Công nghiệp, xây dựng </t>
  </si>
  <si>
    <t>Thương mại - dịch vụ</t>
  </si>
  <si>
    <t>Cơ cấu tổng sản phẩm theo ngành</t>
  </si>
  <si>
    <t>Thu nhập bình quân đầu người</t>
  </si>
  <si>
    <t>Tr.đ</t>
  </si>
  <si>
    <t>Tổng thu ngân sách địa phương</t>
  </si>
  <si>
    <t>Trong đó: Thu NSNN tại địa bàn (bao gồm ghi thu, ghi chi quản lý qua ngân sách)</t>
  </si>
  <si>
    <t>Tổng chi ngân sách địa phương</t>
  </si>
  <si>
    <t>- Chi cân đối NSĐP</t>
  </si>
  <si>
    <t>Chi đầu tư phát triển</t>
  </si>
  <si>
    <t>Chi dự phòng</t>
  </si>
  <si>
    <t>50% tăng thu so DT cân đối lương</t>
  </si>
  <si>
    <t>- Chi nguồn TW bổ sung có mục tiêu</t>
  </si>
  <si>
    <t>BS có mục tiêu vốn ĐTPT</t>
  </si>
  <si>
    <t>BS có mục tiêu kinh phí sự nghiệp</t>
  </si>
  <si>
    <t>- Các khoản chi bố trí theo số thực thu</t>
  </si>
  <si>
    <t>- Các khoản ghi chi theo chế độ (viện phí, học phí, phạt ATGT...)</t>
  </si>
  <si>
    <t>SLLT/người</t>
  </si>
  <si>
    <t>Tổng mức bán lẻ hàng hoá và doanh thu dịch vụ (giá hiện hành)</t>
  </si>
  <si>
    <t>Các chỉ tiêu văn hóa - xã hội</t>
  </si>
  <si>
    <t>Dân số, y tế</t>
  </si>
  <si>
    <t>Quy mô trung bình</t>
  </si>
  <si>
    <t>Tuổi thọ trung bình của người dân</t>
  </si>
  <si>
    <t>Xã đạt bộ tiêu chí QG về y tế xã</t>
  </si>
  <si>
    <t>Trẻ em dưới 5 tuổi suy dinh dưỡng</t>
  </si>
  <si>
    <t>Xây dựng trường chuẩn quốc gia</t>
  </si>
  <si>
    <t>TH</t>
  </si>
  <si>
    <t>THPT</t>
  </si>
  <si>
    <t>Lao động, thương binh và xã hội</t>
  </si>
  <si>
    <t>Giải quyết v.làm cho số lao động/năm</t>
  </si>
  <si>
    <t>Xã đạt chuẩn nông thôn mới</t>
  </si>
  <si>
    <t>Văn hóa - thể thao</t>
  </si>
  <si>
    <t>Xã có thiết chế văn hóa - thể thao</t>
  </si>
  <si>
    <t>Tỷ lệ khu dân cư đạt tiêu chuẩn văn hóa</t>
  </si>
  <si>
    <t>Tỷ lệ gia đình văn hóa</t>
  </si>
  <si>
    <t>Các chỉ tiêu môi trường</t>
  </si>
  <si>
    <t>Tỷ lệ độ che phủ rừng</t>
  </si>
  <si>
    <t>Tỷ lệ hộ nông thôn có công trình vệ sinh hợp vệ sinh</t>
  </si>
  <si>
    <t>TH 8 tháng năm 2018</t>
  </si>
  <si>
    <t>Ước TH năm 2018</t>
  </si>
  <si>
    <t>KH năm 2019</t>
  </si>
  <si>
    <t>Phụ lục 04</t>
  </si>
  <si>
    <t>SẢN XUẤT NÔNG NGHIỆP - THỦY SẢN</t>
  </si>
  <si>
    <t>Cây hàng năm</t>
  </si>
  <si>
    <t>Tổng sản lượng cây lương thực có hạt</t>
  </si>
  <si>
    <t>Trong đó: Thóc</t>
  </si>
  <si>
    <t>Một số cây trồng chính</t>
  </si>
  <si>
    <t>- Lúa Mùa</t>
  </si>
  <si>
    <t xml:space="preserve">               + Lúa mùa</t>
  </si>
  <si>
    <t xml:space="preserve">                Năng suất </t>
  </si>
  <si>
    <t xml:space="preserve">               + Lúa nà, thổ</t>
  </si>
  <si>
    <t>Ngô</t>
  </si>
  <si>
    <t>Sắn</t>
  </si>
  <si>
    <t>Mía tổng số</t>
  </si>
  <si>
    <t>Trong đó: Trồng mở rộng</t>
  </si>
  <si>
    <t>Cà phê tổng số</t>
  </si>
  <si>
    <t>Trong đó: - Trồng mới</t>
  </si>
  <si>
    <t xml:space="preserve">                 - Kinh doanh </t>
  </si>
  <si>
    <t>Cao su tổng số</t>
  </si>
  <si>
    <t>Tổng số đàn trâu</t>
  </si>
  <si>
    <t>Tổng số đàn bò</t>
  </si>
  <si>
    <t>Tổng số đàn heo</t>
  </si>
  <si>
    <t>Diện tích nuôi trồng thuỷ sản</t>
  </si>
  <si>
    <t xml:space="preserve">       Nuôi ao cá</t>
  </si>
  <si>
    <t xml:space="preserve">       Nuôi hồ chứa</t>
  </si>
  <si>
    <t>Lồng</t>
  </si>
  <si>
    <t>Sản lượng thuỷ sản</t>
  </si>
  <si>
    <t xml:space="preserve">       Sản lượng nuôi trồng</t>
  </si>
  <si>
    <t xml:space="preserve">       Sản lượng khai thác tự nhiên</t>
  </si>
  <si>
    <t xml:space="preserve">       Nuôi cá lồng</t>
  </si>
  <si>
    <t>BÁO CÁO ƯỚC KINH TẾ - XÃ HỘI THÁNG 10 NĂM 2018</t>
  </si>
  <si>
    <t>Thực hiện tháng 10/2018</t>
  </si>
  <si>
    <t>Kế hoạch năm 2019</t>
  </si>
  <si>
    <t>Trong đó: + Bệnh viện</t>
  </si>
  <si>
    <t xml:space="preserve">               + Trạm y tế</t>
  </si>
  <si>
    <t>Năm 2019</t>
  </si>
  <si>
    <t>Thực hiện năm 2018</t>
  </si>
  <si>
    <t>Đá, cát sỏi xây dựng</t>
  </si>
  <si>
    <t>Số xã, thị trấn có nhà văn hóa trung tâm</t>
  </si>
  <si>
    <t>Y tế- xã hội</t>
  </si>
  <si>
    <t>Ước TH năm 2019</t>
  </si>
  <si>
    <t>Thực hiện 9 tháng</t>
  </si>
  <si>
    <t>TÌNH HÌNH THỰC HIỆN CÁC CHỈ TIÊU KINH TẾ - XÃ HỘI NĂM 2019</t>
  </si>
  <si>
    <t>TH 9 tháng năm 2019</t>
  </si>
  <si>
    <t>TH năm 2018</t>
  </si>
  <si>
    <t>TH 9 tháng với KH 2019</t>
  </si>
  <si>
    <t>KH năm 2020</t>
  </si>
  <si>
    <t>(Kèm theo Báo cáo số           /BC-UBND, ngày    tháng       năm 2019 của UBND huyện Đăk Tô)</t>
  </si>
  <si>
    <t>Phụ lục 02</t>
  </si>
  <si>
    <t>THU NGÂN SÁCH NHÀ NƯỚC NĂM 2019, DỰ TOÁN NĂM 2020 TRÊN ĐỊA BÀN</t>
  </si>
  <si>
    <t>ĐVT: Triệu đồng</t>
  </si>
  <si>
    <t>ĐVT: triệu đồng</t>
  </si>
  <si>
    <t>Nội dung</t>
  </si>
  <si>
    <t>Dự toán năm 2020</t>
  </si>
  <si>
    <t>Dự toán năm 2021</t>
  </si>
  <si>
    <t>Dự toán</t>
  </si>
  <si>
    <t>Ước thực hiện năm 2019</t>
  </si>
  <si>
    <t>Thực hiện 9 tháng với KH 2019</t>
  </si>
  <si>
    <t>PhẦN I: THU NGÂN SÁCH NHÀ NƯỚC</t>
  </si>
  <si>
    <t>Thu ngân sách nhà nước trên địa bàn (A1+A2)</t>
  </si>
  <si>
    <t>Thu từ hoạt động xuất khẩu, nhập khẩu</t>
  </si>
  <si>
    <t>Thu viện trợ không hoàn lại</t>
  </si>
  <si>
    <t>A1</t>
  </si>
  <si>
    <t>Thu ngân sách nhà nước trên địa bàn cân đối ngân sách</t>
  </si>
  <si>
    <t>Thu từ sản xuất kinh doanh trong nước</t>
  </si>
  <si>
    <t>Thu từ DNNN trung ương và địa phương</t>
  </si>
  <si>
    <t xml:space="preserve">Thu từ doanh nghiệp có vốn đầu tư nước ngoài </t>
  </si>
  <si>
    <t>Thu từ thành phần kinh tế ngoài quốc doanh</t>
  </si>
  <si>
    <t xml:space="preserve">Lệ phí trước bạ </t>
  </si>
  <si>
    <t>Thuế sử dụng đất nông nghiệp</t>
  </si>
  <si>
    <t>Thuế sử dụng đất phi nông nghiệp</t>
  </si>
  <si>
    <t>Thu tiền sử dụng đất</t>
  </si>
  <si>
    <t>Thu tiền cho thuê đât</t>
  </si>
  <si>
    <t>Thuế Thu nhập cá nhân</t>
  </si>
  <si>
    <t>Thu phí, lệ phí</t>
  </si>
  <si>
    <t>Thu khác ngân sách</t>
  </si>
  <si>
    <t>Các khoản thu tại xã</t>
  </si>
  <si>
    <t>Thu cấp quyền khai thác khoán sản</t>
  </si>
  <si>
    <t xml:space="preserve">Thu hồi vốn, lợi nhận, lợi nhuận sau thuế </t>
  </si>
  <si>
    <t>A2</t>
  </si>
  <si>
    <t xml:space="preserve">Các khoản thu quản lý qua ngân sách </t>
  </si>
  <si>
    <t>Ghi thu, ghi chi quản lý qua ngân sách</t>
  </si>
  <si>
    <t>PHẦN II: THU NGÂN SÁCH ĐỊA PHƯƠNG</t>
  </si>
  <si>
    <t>Các khoản thu ngân sách địa phương (I+II+III)</t>
  </si>
  <si>
    <t>Thu cân đối ngân sách địa phương</t>
  </si>
  <si>
    <t>Thu bổ sung từ ngân sách cấp trên</t>
  </si>
  <si>
    <t>Thu bổ sung cân đối ngân sách</t>
  </si>
  <si>
    <t>Thu bổ sung có mục tiêu</t>
  </si>
  <si>
    <t>Phụ lục 03</t>
  </si>
  <si>
    <t>THỰC HIỆN CÂN ĐỐI THU CHI NGÂN SÁCH HUYỆN, XÃ</t>
  </si>
  <si>
    <t>TỔNG THU NSNN TRÊN ĐỊA BÀN</t>
  </si>
  <si>
    <t>TỔNG THU NGÂN SÁCH CẤP HUYỆN</t>
  </si>
  <si>
    <t>Thu NSĐP được hưởng theo phân cấp</t>
  </si>
  <si>
    <t>Các khoản thu NSĐP hưởng 100%</t>
  </si>
  <si>
    <t>1.1</t>
  </si>
  <si>
    <t xml:space="preserve">Thuế Tài nguyên </t>
  </si>
  <si>
    <t>1.2</t>
  </si>
  <si>
    <t xml:space="preserve">Lệ phí môn bài </t>
  </si>
  <si>
    <t>1.3</t>
  </si>
  <si>
    <t xml:space="preserve">Thuế sử dụng đất nông nghiệp </t>
  </si>
  <si>
    <t>1.4</t>
  </si>
  <si>
    <t xml:space="preserve">Thuế sử dụng đất phi nông nghiệp </t>
  </si>
  <si>
    <t>1.5</t>
  </si>
  <si>
    <t xml:space="preserve">Tiền sử dụng đất </t>
  </si>
  <si>
    <t>1.6</t>
  </si>
  <si>
    <t xml:space="preserve">Tiền cho thuê đất, thuê nước </t>
  </si>
  <si>
    <t>1.7</t>
  </si>
  <si>
    <t xml:space="preserve">Tiền cho thuê, bán nhà thuộc sở hữu nhà nước </t>
  </si>
  <si>
    <t>1.8</t>
  </si>
  <si>
    <t xml:space="preserve">Thu từ hoạt động sổ số kiến thiết </t>
  </si>
  <si>
    <t>1.9</t>
  </si>
  <si>
    <t xml:space="preserve">Các khoản thu hồi vốn của ngân sách địa phương </t>
  </si>
  <si>
    <t>1.10</t>
  </si>
  <si>
    <t xml:space="preserve">Thu từ quỹ dự trữ tài chính địa phương </t>
  </si>
  <si>
    <t>1.11</t>
  </si>
  <si>
    <t xml:space="preserve">Thu từ bán tài sản nhà nước </t>
  </si>
  <si>
    <t>1.12</t>
  </si>
  <si>
    <t xml:space="preserve">Viện trợ không hoàn lại </t>
  </si>
  <si>
    <t>1.13</t>
  </si>
  <si>
    <t xml:space="preserve">Phí thu từ hoạt động dịch vụ do cơ quan NN địa phương 
thực hiện </t>
  </si>
  <si>
    <t>1.14</t>
  </si>
  <si>
    <t xml:space="preserve">Phí bảo vệ môi trường </t>
  </si>
  <si>
    <t>1.15</t>
  </si>
  <si>
    <t>Lệ phí do các cơ quan NN địa phương thực hiện thu</t>
  </si>
  <si>
    <t>1.16</t>
  </si>
  <si>
    <t>Thu từ cấp quyền khai thác khoán sản</t>
  </si>
  <si>
    <t>1.17</t>
  </si>
  <si>
    <t xml:space="preserve">Thu từ xử phạt vi phạm hành chính, phạt tịch thu </t>
  </si>
  <si>
    <t>1.18</t>
  </si>
  <si>
    <t>Thu từ tài sản được xác lập quyền SHNN</t>
  </si>
  <si>
    <t>1.19</t>
  </si>
  <si>
    <t>Thu từ quỹ đất công ích hoa lợi, công sản khác</t>
  </si>
  <si>
    <t>1.20</t>
  </si>
  <si>
    <t xml:space="preserve">Huy động đóng góp </t>
  </si>
  <si>
    <t>1.21</t>
  </si>
  <si>
    <t xml:space="preserve">Các khoản thu khác </t>
  </si>
  <si>
    <t>Các khoản thu phân chia NSĐP theo tỷ lệ %</t>
  </si>
  <si>
    <t>Thuế GTGT (trừ thuế GTGT thu từ hàng hoá nhập khẩu)</t>
  </si>
  <si>
    <t xml:space="preserve">Thuế thu nhập doanh nghiệp ( trừ thuế thu nhập doanh nghiệp từ hoạt động khai thác thăm dò dầu khí) </t>
  </si>
  <si>
    <t xml:space="preserve">Thuế thu nhập cá nhân </t>
  </si>
  <si>
    <t>Thuế tiêu thụ đặc biệt ( trừ thuế TTĐB từ hàng hoá nhập khẩu)</t>
  </si>
  <si>
    <t>2.5</t>
  </si>
  <si>
    <t>Thuế bảo vệ môi trường (trừ thuế bảo vệ môi trường từ hàng hoá nhập khẩu)</t>
  </si>
  <si>
    <t>Chi ngân sách huyện</t>
  </si>
  <si>
    <t>C1</t>
  </si>
  <si>
    <t>Chi cân đối ngân sách</t>
  </si>
  <si>
    <t>Chi đầu tư phát triển (1)</t>
  </si>
  <si>
    <t>Chi trả nợ lãi, phí</t>
  </si>
  <si>
    <t>Chi bổ sung quỹ dự trữ tài chính</t>
  </si>
  <si>
    <t>Dự phòng ngân sách</t>
  </si>
  <si>
    <t>Chi tạo nguồn thực hiện CCTL</t>
  </si>
  <si>
    <t>C2</t>
  </si>
  <si>
    <t>Chi từ nguồn bổ sung có mục tiêu</t>
  </si>
  <si>
    <t>Chi thực hiện các chương trình mục tiêu, nhiệm vụ</t>
  </si>
  <si>
    <t>Chi thực hiện các chế độ, chính sách</t>
  </si>
  <si>
    <t>Chi thực hiện các chương trình mục tiêu quốc gia</t>
  </si>
  <si>
    <t>Chi chuyển nguồn sang năm sau</t>
  </si>
  <si>
    <t>Cơ quan, đơn vị văn hoá đăng ký</t>
  </si>
  <si>
    <t xml:space="preserve">Cây rau, đậu </t>
  </si>
  <si>
    <t>Cây Mắc ca</t>
  </si>
  <si>
    <t>Đã trồng</t>
  </si>
  <si>
    <t>Cây Dược liệu khác</t>
  </si>
  <si>
    <t>Số lao động nông thôn được đào tạo nghề trong năm.</t>
  </si>
  <si>
    <t>Bổ túc THPT (huyện quản lý)</t>
  </si>
  <si>
    <t>Tỷ lệ học sinh đi học đúng độ tuổi</t>
  </si>
  <si>
    <t>Văn hoá, thể thao, thông tin</t>
  </si>
  <si>
    <t>Tỷ lệ hộ gia đình đạt  danh  hiệu "Gia đình văn hóa"</t>
  </si>
  <si>
    <t>Tỷ lệ thôn, làng, tổ dân phố đạt danh hiệu văn hóa</t>
  </si>
  <si>
    <t>Tỷ lệ xã, phường, thị trấn có nhà văn hóa</t>
  </si>
  <si>
    <t>Quốc phòng, an ninh</t>
  </si>
  <si>
    <t>Tỷ lệ giải quyết tố giác, tin báo về tội phạm, kiến nghị khởi tố hằng năm</t>
  </si>
  <si>
    <t>Tỷ lệ xã, phường, thị trấn mạnh về phong trào toàn dân bảo vệ an ninh Tổ quốc.</t>
  </si>
  <si>
    <t>Rau các loại</t>
  </si>
  <si>
    <t>Đậu các loại</t>
  </si>
  <si>
    <t>Năm 2022</t>
  </si>
  <si>
    <t>Trồng mới</t>
  </si>
  <si>
    <t>Ngô vụ xuân</t>
  </si>
  <si>
    <t xml:space="preserve"> Ngô vụ mùa</t>
  </si>
  <si>
    <t>TriệuKw/h</t>
  </si>
  <si>
    <t>Trồng mới</t>
  </si>
  <si>
    <t>Tỷ lệ giao quân</t>
  </si>
  <si>
    <t xml:space="preserve">Cây mía </t>
  </si>
  <si>
    <t>Mức giảm tỷ lệ hộ nghèo trong năm (chuẩn giai đoạn 2021-2025)</t>
  </si>
  <si>
    <t>(Kèm theo báo cáo số      /BC-UBND, ngày         tháng      năm 2023 của UBND huyện Đăk Tô)</t>
  </si>
  <si>
    <t>Năm 2023</t>
  </si>
  <si>
    <t>Ước 2023/ KH 2023</t>
  </si>
  <si>
    <t>KH 2024/ Ước 2023</t>
  </si>
  <si>
    <t>Trạm y tế đạt chuẩn quốc gia theo bộ tiêu chí quốc gia về y tế</t>
  </si>
  <si>
    <t>Tỷ lệ trạm y tế xã đạt chuẩn quốc gia</t>
  </si>
  <si>
    <t>Tỷ lệ bao phủ bảo hiểm y tế/dân số trung bình</t>
  </si>
  <si>
    <t>Tỷ lệ bao phủ BHXH/LLLĐ tham gia</t>
  </si>
  <si>
    <t>Tỷ lệ bao phủ BHTN/LLLĐ tham gia</t>
  </si>
  <si>
    <t>Cộng tác với Đài truyền hình tỉnh</t>
  </si>
  <si>
    <t>Tỷ lệ xã, phường, thị trấn, khu dân cư, cơ quan, trường học đạt tiêu chuẩn an toàn về an ninh trật tự</t>
  </si>
  <si>
    <t>&gt;75</t>
  </si>
  <si>
    <t>Thực hiện đến 30/10</t>
  </si>
  <si>
    <t>Ước TH năm 2023</t>
  </si>
  <si>
    <t>So với cùng kỳ 2022</t>
  </si>
  <si>
    <t>Kết quả (Đạt/ không đạt)</t>
  </si>
  <si>
    <r>
      <t xml:space="preserve">Trong đó </t>
    </r>
    <r>
      <rPr>
        <sz val="11"/>
        <rFont val="Times New Roman"/>
        <family val="1"/>
      </rPr>
      <t>: + Thóc</t>
    </r>
  </si>
  <si>
    <r>
      <rPr>
        <i/>
        <sz val="11"/>
        <rFont val="Times New Roman"/>
        <family val="1"/>
      </rPr>
      <t>Trong đó: Tỷ lệ tham gia BHXH tự nguyện/LLLĐ tham gia</t>
    </r>
  </si>
  <si>
    <t>PHỤ LỤC 01</t>
  </si>
  <si>
    <t>KẾT QUẢ THỰC HIỆN CÁC CHỈ TIÊU KINH TẾ - XÃ HỘI, QUỐC PHÒNG AN NINH  NĂM 2023</t>
  </si>
  <si>
    <t>8=6/4</t>
  </si>
  <si>
    <t>Đạt</t>
  </si>
  <si>
    <t>Chỉ tiêu năm 2024</t>
  </si>
  <si>
    <t>Không đạt</t>
  </si>
  <si>
    <t>PHẦN I: KINH TẾ</t>
  </si>
  <si>
    <t>PHẦN II: VĂN HOÁ - XÃ HỘI</t>
  </si>
  <si>
    <t>12=11/7</t>
  </si>
  <si>
    <t xml:space="preserve">Kế hoạch </t>
  </si>
  <si>
    <t>Cây công nghiệp, cây ăn quả</t>
  </si>
  <si>
    <t>Cây Dược liệu</t>
  </si>
  <si>
    <t xml:space="preserve">               '+ Diện tích cho thu hoạch</t>
  </si>
  <si>
    <t xml:space="preserve">               + Diện tích tái canh</t>
  </si>
  <si>
    <t xml:space="preserve">               +  Diện tích cho thu hoạch</t>
  </si>
  <si>
    <t>Sầu riêng</t>
  </si>
  <si>
    <t>Chuối</t>
  </si>
  <si>
    <t>Cây có múi (cam, chanh, bưởi)</t>
  </si>
  <si>
    <t>Dứa</t>
  </si>
  <si>
    <t>Chanh dây</t>
  </si>
  <si>
    <t>Dược liệu hàng năm đến cuối năm 2023</t>
  </si>
  <si>
    <t>Lượt ha</t>
  </si>
  <si>
    <t>Dược liệu hàng năm trồng mới năm 2024</t>
  </si>
  <si>
    <t>Cây dược liệu lâu năm</t>
  </si>
  <si>
    <t>Trong đó: Diện tích trồng mới</t>
  </si>
  <si>
    <t>Tổng sản lượng thủy sản</t>
  </si>
  <si>
    <t>Diện tích nuôi trồng thủy sản</t>
  </si>
  <si>
    <t>Diện tích nuôi ao hồ nhỏ</t>
  </si>
  <si>
    <t>Diện tích nuôi mặt nước lớn</t>
  </si>
  <si>
    <t>Tổng số lồng nuôi thủy sản</t>
  </si>
  <si>
    <t xml:space="preserve"> Khai thác thủy sản</t>
  </si>
  <si>
    <t>- Trong đó ngoài công lập</t>
  </si>
  <si>
    <t>+ Lúa rẫy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</si>
</sst>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[Red]\-&quot;$&quot;#,##0.00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_-* #,##0\ _₫_-;\-* #,##0\ _₫_-;_-* &quot;-&quot;\ _₫_-;_-@_-"/>
    <numFmt numFmtId="172" formatCode="_-* #,##0.00\ _₫_-;\-* #,##0.00\ _₫_-;_-* &quot;-&quot;??\ _₫_-;_-@_-"/>
    <numFmt numFmtId="173" formatCode="&quot;£&quot;#,##0;\-&quot;£&quot;#,##0"/>
    <numFmt numFmtId="174" formatCode="&quot;£&quot;#,##0;[Red]\-&quot;£&quot;#,##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#,##0.000"/>
    <numFmt numFmtId="178" formatCode="#,##0.0"/>
    <numFmt numFmtId="179" formatCode="0.0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#,###"/>
    <numFmt numFmtId="186" formatCode="?,???.??__;[Red]\-\ ?,???.??__;"/>
    <numFmt numFmtId="187" formatCode="_(* #,##0.0_);_(* \(#,##0.0\);_(* &quot;-&quot;??_);_(@_)"/>
    <numFmt numFmtId="188" formatCode="_(* #,##0_);_(* \(#,##0\);_(* &quot;-&quot;??_);_(@_)"/>
    <numFmt numFmtId="189" formatCode="0##,###.00"/>
    <numFmt numFmtId="190" formatCode="&quot;$&quot;\ #,##0;[Red]\-&quot;$&quot;\ #,##0"/>
    <numFmt numFmtId="191" formatCode="&quot;€&quot;#,##0;[Red]&quot;€&quot;\-#,##0"/>
    <numFmt numFmtId="192" formatCode="_-&quot;€&quot;* #,##0_-;\-&quot;€&quot;* #,##0_-;_-&quot;€&quot;* &quot;-&quot;_-;_-@_-"/>
    <numFmt numFmtId="193" formatCode="_-&quot;€&quot;* ###&quot;€&quot;0&quot;.&quot;00_-;\-&quot;€&quot;* ###&quot;€&quot;0&quot;.&quot;00_-;_-&quot;€&quot;* &quot;-&quot;??_-;_-@_-"/>
    <numFmt numFmtId="194" formatCode="_-&quot;€&quot;* #,##0.00_-;\-&quot;€&quot;* #,##0.00_-;_-&quot;€&quot;* &quot;-&quot;??_-;_-@_-"/>
    <numFmt numFmtId="195" formatCode="&quot;€&quot;#&quot;€&quot;##0_);\(&quot;€&quot;#&quot;€&quot;##0\)"/>
    <numFmt numFmtId="196" formatCode="_-* ###&quot;€&quot;0&quot;.&quot;00_-;\-* ###&quot;€&quot;0&quot;.&quot;00_-;_-* &quot;-&quot;??_-;_-@_-"/>
    <numFmt numFmtId="197" formatCode="_(&quot;.&quot;* #&quot;€&quot;##0_);_(&quot;.&quot;* \(#&quot;€&quot;##0\);_(&quot;.&quot;* &quot;-&quot;_);_(@_)"/>
    <numFmt numFmtId="198" formatCode="&quot;€&quot;#&quot;€&quot;##0_);[Red]\(&quot;€&quot;#&quot;€&quot;##0\)"/>
    <numFmt numFmtId="199" formatCode="&quot;€&quot;###&quot;€&quot;0&quot;.&quot;00_);\(&quot;€&quot;###&quot;€&quot;0&quot;.&quot;00\)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\ &quot;F&quot;;[Red]\-#,##0\ &quot;F&quot;"/>
    <numFmt numFmtId="203" formatCode="#,##0.00\ &quot;F&quot;;\-#,##0.00\ &quot;F&quot;"/>
    <numFmt numFmtId="204" formatCode="_-* #,##0.0\ _₫_-;\-* #,##0.0\ _₫_-;_-* &quot;-&quot;??\ _₫_-;_-@_-"/>
    <numFmt numFmtId="205" formatCode="_-* #,##0.0\ _₫_-;\-* #,##0.0\ _₫_-;_-* &quot;-&quot;?\ _₫_-;_-@_-"/>
    <numFmt numFmtId="206" formatCode="0.0000"/>
    <numFmt numFmtId="207" formatCode="0.000"/>
    <numFmt numFmtId="208" formatCode="_-* #,##0\ _F_-;\-* #,##0\ _F_-;_-* &quot;-&quot;\ _F_-;_-@_-"/>
    <numFmt numFmtId="209" formatCode="_ * #,##0_ ;_ * \-#,##0_ ;_ * &quot;-&quot;_ ;_ @_ "/>
    <numFmt numFmtId="210" formatCode="_ * #,##0_)\ &quot;$&quot;_ ;_ * \(#,##0\)\ &quot;$&quot;_ ;_ * &quot;-&quot;_)\ &quot;$&quot;_ ;_ @_ "/>
    <numFmt numFmtId="211" formatCode="\t0.00%"/>
    <numFmt numFmtId="212" formatCode="\t#\ ??/??"/>
    <numFmt numFmtId="213" formatCode="#,##0;\(#,##0\)"/>
    <numFmt numFmtId="214" formatCode="\$#,##0_);\(\$#,##0\)"/>
    <numFmt numFmtId="215" formatCode="&quot;CHF&quot;\ #,##0;&quot;CHF&quot;\ \-#,##0"/>
    <numFmt numFmtId="216" formatCode="#,##0.00&quot; F&quot;;[Red]\-#,##0.00&quot; F&quot;"/>
    <numFmt numFmtId="217" formatCode="\$#,##0_);[Red]&quot;($&quot;#,##0\)"/>
    <numFmt numFmtId="218" formatCode="\$#,##0_);&quot;($&quot;#,##0\)"/>
    <numFmt numFmtId="219" formatCode="_(* #,##0.0000_);_(* \(#,##0.0000\);_(* \-??_);_(@_)"/>
    <numFmt numFmtId="220" formatCode="#,##0&quot; F&quot;;[Red]\-#,##0&quot; F&quot;"/>
    <numFmt numFmtId="221" formatCode="_(* #,##0_);_(* \(#,##0\);_(* \-??_);_(@_)"/>
    <numFmt numFmtId="222" formatCode="_-\$* #,##0.00_-;&quot;-$&quot;* #,##0.00_-;_-\$* \-??_-;_-@_-"/>
    <numFmt numFmtId="223" formatCode="#,##0.0_);\(#,##0.0\)"/>
    <numFmt numFmtId="224" formatCode="0.0%;[Red]\(0.0%\)"/>
    <numFmt numFmtId="225" formatCode="_ * #,##0.00_)\£_ ;_ * \(#,##0.00&quot;)£&quot;_ ;_ * \-??_)\£_ ;_ @_ "/>
    <numFmt numFmtId="226" formatCode="0.0%;\(0.0%\)"/>
    <numFmt numFmtId="227" formatCode="&quot;US$&quot;#,##0.00;&quot;(US$&quot;#,##0.00\)"/>
    <numFmt numFmtId="228" formatCode="_-[$€]* #,##0.00_-;\-[$€]* #,##0.00_-;_-[$€]* \-??_-;_-@_-"/>
    <numFmt numFmtId="229" formatCode="#,##0.000_);\(#,##0.000\)"/>
    <numFmt numFmtId="230" formatCode="\\#,##0;[Red]&quot;-\&quot;#,##0"/>
    <numFmt numFmtId="231" formatCode="#,##0&quot; F&quot;;\-#,##0&quot; F&quot;"/>
    <numFmt numFmtId="232" formatCode="_-* #,##0&quot; DM&quot;_-;\-* #,##0&quot; DM&quot;_-;_-* &quot;- DM&quot;_-;_-@_-"/>
    <numFmt numFmtId="233" formatCode="_-* #,##0.00&quot; DM&quot;_-;\-* #,##0.00&quot; DM&quot;_-;_-* \-??&quot; DM&quot;_-;_-@_-"/>
    <numFmt numFmtId="234" formatCode="_(\$* #,##0_);_(\$* \(#,##0\);_(\$* \-_);_(@_)"/>
    <numFmt numFmtId="235" formatCode="_(\$* #,##0.00_);_(\$* \(#,##0.00\);_(\$* \-??_);_(@_)"/>
    <numFmt numFmtId="236" formatCode="_(* #,##0.00_);_(* \(#,##0.00\);_(* \-??_);_(@_)"/>
    <numFmt numFmtId="237" formatCode="&quot;\&quot;#,##0;[Red]\-&quot;\&quot;#,##0"/>
    <numFmt numFmtId="238" formatCode="&quot;VND&quot;#,##0_);[Red]\(&quot;VND&quot;#,##0\)"/>
    <numFmt numFmtId="239" formatCode="0.0000000000"/>
    <numFmt numFmtId="240" formatCode="0.00000000"/>
    <numFmt numFmtId="241" formatCode="0.0000000"/>
    <numFmt numFmtId="242" formatCode="0.000000"/>
    <numFmt numFmtId="243" formatCode="0.00000"/>
    <numFmt numFmtId="244" formatCode="#,##0.0000"/>
    <numFmt numFmtId="245" formatCode="_(&quot;£&quot;\ * #,##0_);_(&quot;£&quot;\ * \(#,##0\);_(&quot;£&quot;\ * &quot;-&quot;_);_(@_)"/>
    <numFmt numFmtId="246" formatCode="&quot;€&quot;###,0&quot;.&quot;00_);\(&quot;€&quot;###,0&quot;.&quot;00\)"/>
    <numFmt numFmtId="247" formatCode="#.##00"/>
    <numFmt numFmtId="248" formatCode="_-* #,##0&quot;$&quot;_-;_-* #,##0&quot;$&quot;\-;_-* &quot;-&quot;&quot;$&quot;_-;_-@_-"/>
    <numFmt numFmtId="249" formatCode="_-* #,##0\ &quot;$&quot;_-;\-* #,##0\ &quot;$&quot;_-;_-* &quot;-&quot;\ &quot;$&quot;_-;_-@_-"/>
    <numFmt numFmtId="250" formatCode="_-* #,##0_-;\-* #,##0_-;_-* &quot;-&quot;??_-;_-@_-"/>
    <numFmt numFmtId="251" formatCode="_-&quot;ñ&quot;* #,##0_-;\-&quot;ñ&quot;* #,##0_-;_-&quot;ñ&quot;* &quot;-&quot;_-;_-@_-"/>
    <numFmt numFmtId="252" formatCode="_-* ###,0&quot;.&quot;00_-;\-* ###,0&quot;.&quot;00_-;_-* &quot;-&quot;??_-;_-@_-"/>
    <numFmt numFmtId="253" formatCode="_-* #,##0.00\ _F_-;\-* #,##0.00\ _F_-;_-* &quot;-&quot;??\ _F_-;_-@_-"/>
    <numFmt numFmtId="254" formatCode="_ * #,##0.00_ ;_ * \-#,##0.00_ ;_ * &quot;-&quot;??_ ;_ @_ "/>
    <numFmt numFmtId="255" formatCode="_-* #,##0.00\ _V_N_D_-;\-* #,##0.00\ _V_N_D_-;_-* &quot;-&quot;??\ _V_N_D_-;_-@_-"/>
    <numFmt numFmtId="256" formatCode="_-* #,##0.00\ _V_N_Ñ_-;_-* #,##0.00\ _V_N_Ñ\-;_-* &quot;-&quot;??\ _V_N_Ñ_-;_-@_-"/>
    <numFmt numFmtId="257" formatCode="_-* #,##0.00\ _€_-;\-* #,##0.00\ _€_-;_-* &quot;-&quot;??\ _€_-;_-@_-"/>
    <numFmt numFmtId="258" formatCode="_-* #,##0.00_$_-;_-* #,##0.00_$\-;_-* &quot;-&quot;??_$_-;_-@_-"/>
    <numFmt numFmtId="259" formatCode="_(* ###,0&quot;.&quot;00_);_(* \(###,0&quot;.&quot;00\);_(* &quot;-&quot;??_);_(@_)"/>
    <numFmt numFmtId="260" formatCode="_-* #,##0.00\ _ñ_-;\-* #,##0.00\ _ñ_-;_-* &quot;-&quot;??\ _ñ_-;_-@_-"/>
    <numFmt numFmtId="261" formatCode="_(&quot;$&quot;\ * #,##0_);_(&quot;$&quot;\ * \(#,##0\);_(&quot;$&quot;\ * &quot;-&quot;_);_(@_)"/>
    <numFmt numFmtId="262" formatCode="_-* #,##0\ &quot;ñ&quot;_-;\-* #,##0\ &quot;ñ&quot;_-;_-* &quot;-&quot;\ &quot;ñ&quot;_-;_-@_-"/>
    <numFmt numFmtId="263" formatCode="_(&quot;€&quot;* #,##0_);_(&quot;€&quot;* \(#,##0\);_(&quot;€&quot;* &quot;-&quot;_);_(@_)"/>
    <numFmt numFmtId="264" formatCode="_-* #,##0\ _V_N_D_-;\-* #,##0\ _V_N_D_-;_-* &quot;-&quot;\ _V_N_D_-;_-@_-"/>
    <numFmt numFmtId="265" formatCode="_-* #,##0\ _V_N_Ñ_-;_-* #,##0\ _V_N_Ñ\-;_-* &quot;-&quot;\ _V_N_Ñ_-;_-@_-"/>
    <numFmt numFmtId="266" formatCode="_-* #,##0\ _€_-;\-* #,##0\ _€_-;_-* &quot;-&quot;\ _€_-;_-@_-"/>
    <numFmt numFmtId="267" formatCode="_-* #,##0_$_-;_-* #,##0_$\-;_-* &quot;-&quot;_$_-;_-@_-"/>
    <numFmt numFmtId="268" formatCode="_-* #,##0\ _$_-;\-* #,##0\ _$_-;_-* &quot;-&quot;\ _$_-;_-@_-"/>
    <numFmt numFmtId="269" formatCode="_-* #,##0\ _m_k_-;\-* #,##0\ _m_k_-;_-* &quot;-&quot;\ _m_k_-;_-@_-"/>
    <numFmt numFmtId="270" formatCode="_-* #,##0\ _ñ_-;\-* #,##0\ _ñ_-;_-* &quot;-&quot;\ _ñ_-;_-@_-"/>
    <numFmt numFmtId="271" formatCode="#,##0.0_);[Red]\(#,##0.0\)"/>
    <numFmt numFmtId="272" formatCode="_ &quot;\&quot;* #,##0_ ;_ &quot;\&quot;* \-#,##0_ ;_ &quot;\&quot;* &quot;-&quot;_ ;_ @_ "/>
    <numFmt numFmtId="273" formatCode="&quot;SFr.&quot;\ #,##0.00;[Red]&quot;SFr.&quot;\ \-#,##0.00"/>
    <numFmt numFmtId="274" formatCode="&quot;SFr.&quot;\ #,##0.00;&quot;SFr.&quot;\ \-#,##0.00"/>
    <numFmt numFmtId="275" formatCode="_ &quot;SFr.&quot;\ * #,##0_ ;_ &quot;SFr.&quot;\ * \-#,##0_ ;_ &quot;SFr.&quot;\ * &quot;-&quot;_ ;_ @_ "/>
    <numFmt numFmtId="276" formatCode="_-* #,##0.00\ &quot;F&quot;_-;\-* #,##0.00\ &quot;F&quot;_-;_-* &quot;-&quot;??\ &quot;F&quot;_-;_-@_-"/>
    <numFmt numFmtId="277" formatCode="0.000_)"/>
    <numFmt numFmtId="278" formatCode="_(* #,##0_);_(* \(#,##0\);_(* \-_);_(@_)"/>
    <numFmt numFmtId="279" formatCode="&quot;CHF &quot;#,##0;&quot;CHF -&quot;#,##0"/>
    <numFmt numFmtId="280" formatCode="#,##0.00;[Red]#,##0.00"/>
    <numFmt numFmtId="281" formatCode="_ &quot;R&quot;\ * #,##0_ ;_ &quot;R&quot;\ * \-#,##0_ ;_ &quot;R&quot;\ * &quot;-&quot;_ ;_ @_ "/>
    <numFmt numFmtId="282" formatCode="?\,???.??__;[Red]&quot;- &quot;?\,???.??__"/>
    <numFmt numFmtId="283" formatCode="_(\§\g\ #,##0_);_(\§\g\ \(#,##0\);_(\§\g\ &quot;-&quot;??_);_(@_)"/>
    <numFmt numFmtId="284" formatCode="_(\§\g\ #,##0_);_(\§\g\ \(#,##0\);_(\§\g\ &quot;-&quot;_);_(@_)"/>
    <numFmt numFmtId="285" formatCode="\§\g#,##0_);\(\§\g#,##0\)"/>
    <numFmt numFmtId="286" formatCode="_-&quot;VND&quot;* #,##0_-;\-&quot;VND&quot;* #,##0_-;_-&quot;VND&quot;* &quot;-&quot;_-;_-@_-"/>
    <numFmt numFmtId="287" formatCode="_(&quot;Rp&quot;* #,##0.00_);_(&quot;Rp&quot;* \(#,##0.00\);_(&quot;Rp&quot;* &quot;-&quot;??_);_(@_)"/>
    <numFmt numFmtId="288" formatCode="#,##0.00\ &quot;FB&quot;;[Red]\-#,##0.00\ &quot;FB&quot;"/>
    <numFmt numFmtId="289" formatCode="#,##0\ &quot;$&quot;;\-#,##0\ &quot;$&quot;"/>
    <numFmt numFmtId="290" formatCode="_-* #,##0\ _F_B_-;\-* #,##0\ _F_B_-;_-* &quot;-&quot;\ _F_B_-;_-@_-"/>
    <numFmt numFmtId="291" formatCode="&quot;öS&quot;\ #,##0;[Red]\-&quot;öS&quot;\ #,##0"/>
    <numFmt numFmtId="292" formatCode="&quot;Q&quot;#,##0_);\(&quot;Q&quot;#,##0\)"/>
    <numFmt numFmtId="293" formatCode="#,##0_);\-#,##0_)"/>
    <numFmt numFmtId="294" formatCode="#,##0\ &quot;$&quot;_);\(#,##0\ &quot;$&quot;\)"/>
    <numFmt numFmtId="295" formatCode="&quot;\&quot;#,##0.00;\-&quot;\&quot;#,##0.00"/>
    <numFmt numFmtId="296" formatCode="#,##0.00_);\-#,##0.00_)"/>
    <numFmt numFmtId="297" formatCode="#"/>
    <numFmt numFmtId="298" formatCode="&quot;¡Ì&quot;#,##0;[Red]\-&quot;¡Ì&quot;#,##0"/>
    <numFmt numFmtId="299" formatCode="_-* #,##0.0\ _F_-;\-* #,##0.0\ _F_-;_-* &quot;-&quot;??\ _F_-;_-@_-"/>
    <numFmt numFmtId="300" formatCode="#,##0.00\ \ "/>
    <numFmt numFmtId="301" formatCode="_ * #,##0.0_ ;_ * \-#,##0.0_ ;_ * &quot;-&quot;??_ ;_ @_ "/>
    <numFmt numFmtId="302" formatCode="#,##0.00\ \ \ \ "/>
    <numFmt numFmtId="303" formatCode="_(* #.##0.00_);_(* \(#.##0.00\);_(* &quot;-&quot;??_);_(@_)"/>
    <numFmt numFmtId="304" formatCode="###\ ###\ ##0"/>
    <numFmt numFmtId="305" formatCode="&quot;\&quot;#,##0;&quot;\&quot;\-#,##0"/>
    <numFmt numFmtId="306" formatCode="_-* ###,0&quot;.&quot;00\ _F_B_-;\-* ###,0&quot;.&quot;00\ _F_B_-;_-* &quot;-&quot;??\ _F_B_-;_-@_-"/>
    <numFmt numFmtId="307" formatCode="_ * #.##._ ;_ * \-#.##._ ;_ * &quot;-&quot;??_ ;_ @_ⴆ"/>
    <numFmt numFmtId="308" formatCode="_-* #,##0\ _F_-;\-* #,##0\ _F_-;_-* &quot;-&quot;??\ _F_-;_-@_-"/>
    <numFmt numFmtId="309" formatCode="#.00\ ##0"/>
    <numFmt numFmtId="310" formatCode="#.\ ##0"/>
  </numFmts>
  <fonts count="275">
    <font>
      <sz val="10"/>
      <name val=".VnArial"/>
    </font>
    <font>
      <sz val="10"/>
      <name val=".VnArial"/>
      <family val="2"/>
    </font>
    <font>
      <sz val="12"/>
      <name val=".VnTime"/>
      <family val="2"/>
    </font>
    <font>
      <b/>
      <sz val="12"/>
      <name val=".VnTime"/>
      <family val="2"/>
    </font>
    <font>
      <b/>
      <sz val="14"/>
      <name val=".VnTimeH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2"/>
      <name val=".VnTime"/>
      <family val="2"/>
    </font>
    <font>
      <sz val="14"/>
      <color indexed="12"/>
      <name val=".VnArialH"/>
      <family val="2"/>
    </font>
    <font>
      <sz val="12"/>
      <color indexed="8"/>
      <name val=".VnTime"/>
      <family val="2"/>
    </font>
    <font>
      <sz val="11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.VnTime"/>
      <family val="2"/>
    </font>
    <font>
      <sz val="10"/>
      <name val=".VnTime"/>
      <family val="2"/>
    </font>
    <font>
      <b/>
      <sz val="10"/>
      <name val=".VnTimeH"/>
      <family val="2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Times"/>
    </font>
    <font>
      <sz val="8"/>
      <name val="Arial"/>
      <family val="2"/>
    </font>
    <font>
      <sz val="10"/>
      <name val=".VnAvant"/>
      <family val="2"/>
    </font>
    <font>
      <sz val="12"/>
      <name val="Arial"/>
      <family val="2"/>
    </font>
    <font>
      <sz val="12"/>
      <name val="VNtimes new roman"/>
    </font>
    <font>
      <sz val="10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???"/>
      <family val="3"/>
    </font>
    <font>
      <b/>
      <sz val="12"/>
      <name val=".VnBook-AntiquaH"/>
      <family val="2"/>
    </font>
    <font>
      <sz val="12"/>
      <name val="??"/>
      <family val="1"/>
      <charset val="129"/>
    </font>
    <font>
      <sz val="10"/>
      <name val="3C_Times_T"/>
    </font>
    <font>
      <sz val="13"/>
      <name val=".VnTime"/>
      <family val="2"/>
    </font>
    <font>
      <sz val="14"/>
      <name val=".VnArial"/>
      <family val="2"/>
    </font>
    <font>
      <sz val="10"/>
      <name val="Helv"/>
      <family val="2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sz val="10"/>
      <name val=".VnArial"/>
      <family val="2"/>
    </font>
    <font>
      <sz val="12"/>
      <name val=".VnArial"/>
      <family val="2"/>
    </font>
    <font>
      <sz val="10"/>
      <name val=".VnArial"/>
      <family val="2"/>
    </font>
    <font>
      <sz val="12"/>
      <color indexed="17"/>
      <name val="Times New Roman"/>
      <family val="1"/>
    </font>
    <font>
      <sz val="10"/>
      <name val=".VnArial"/>
      <family val="2"/>
    </font>
    <font>
      <i/>
      <sz val="13"/>
      <name val="Times New Roman"/>
      <family val="1"/>
    </font>
    <font>
      <sz val="12"/>
      <color rgb="FF0000FF"/>
      <name val="Times New Roman"/>
      <family val="1"/>
    </font>
    <font>
      <i/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.VnArial"/>
      <family val="2"/>
    </font>
    <font>
      <i/>
      <sz val="10"/>
      <name val=".VnArial"/>
      <family val="2"/>
    </font>
    <font>
      <sz val="14"/>
      <name val=".VnTime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name val=".VnTime"/>
      <family val="2"/>
    </font>
    <font>
      <u/>
      <sz val="12"/>
      <color indexed="12"/>
      <name val=".VnTime"/>
      <family val="2"/>
    </font>
    <font>
      <sz val="12"/>
      <name val="Arial Narrow"/>
      <family val="2"/>
    </font>
    <font>
      <sz val="12"/>
      <name val="VNtimes new roman"/>
      <family val="2"/>
    </font>
    <font>
      <sz val="10"/>
      <name val="VnTimes"/>
    </font>
    <font>
      <sz val="11"/>
      <color indexed="8"/>
      <name val="UVnTime"/>
      <family val="2"/>
    </font>
    <font>
      <sz val="11"/>
      <color indexed="27"/>
      <name val="UVnTime"/>
      <family val="2"/>
    </font>
    <font>
      <sz val="11"/>
      <color indexed="20"/>
      <name val="UVnTime"/>
      <family val="2"/>
    </font>
    <font>
      <b/>
      <sz val="11"/>
      <color indexed="52"/>
      <name val="UVnTime"/>
      <family val="2"/>
    </font>
    <font>
      <b/>
      <sz val="10"/>
      <name val="Helv"/>
    </font>
    <font>
      <b/>
      <sz val="11"/>
      <color indexed="27"/>
      <name val="UVnTime"/>
      <family val="2"/>
    </font>
    <font>
      <sz val="10"/>
      <name val="VNI-Aptima"/>
    </font>
    <font>
      <b/>
      <sz val="10"/>
      <name val="MS Sans Serif"/>
      <family val="2"/>
    </font>
    <font>
      <sz val="13"/>
      <name val="Times New Roman"/>
      <family val="1"/>
      <charset val="163"/>
    </font>
    <font>
      <sz val="10"/>
      <name val="Arial"/>
      <family val="2"/>
      <charset val="163"/>
    </font>
    <font>
      <sz val="10"/>
      <color indexed="8"/>
      <name val="Arial"/>
      <family val="2"/>
    </font>
    <font>
      <i/>
      <sz val="11"/>
      <color indexed="23"/>
      <name val="UVnTime"/>
      <family val="2"/>
    </font>
    <font>
      <sz val="11"/>
      <color indexed="17"/>
      <name val="UVnTime"/>
      <family val="2"/>
    </font>
    <font>
      <b/>
      <sz val="11"/>
      <color indexed="62"/>
      <name val="UVnTime"/>
      <family val="2"/>
    </font>
    <font>
      <b/>
      <sz val="10"/>
      <name val=".VnTime"/>
      <family val="2"/>
    </font>
    <font>
      <sz val="11"/>
      <color indexed="62"/>
      <name val="UVnTime"/>
      <family val="2"/>
    </font>
    <font>
      <sz val="10"/>
      <name val="MS Sans Serif"/>
      <family val="2"/>
    </font>
    <font>
      <sz val="11"/>
      <color indexed="52"/>
      <name val="UVnTime"/>
      <family val="2"/>
    </font>
    <font>
      <b/>
      <sz val="11"/>
      <name val="Helv"/>
    </font>
    <font>
      <sz val="10"/>
      <name val="VNbook-Antiqua"/>
    </font>
    <font>
      <sz val="11"/>
      <color indexed="60"/>
      <name val="UVnTime"/>
      <family val="2"/>
    </font>
    <font>
      <sz val="7"/>
      <name val="Small Fonts"/>
      <family val="2"/>
    </font>
    <font>
      <sz val="14"/>
      <name val="Times New Roman"/>
      <family val="1"/>
      <charset val="163"/>
    </font>
    <font>
      <sz val="11"/>
      <color indexed="8"/>
      <name val="Calibri"/>
      <family val="2"/>
      <charset val="163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63"/>
      <name val="UVnTime"/>
      <family val="2"/>
    </font>
    <font>
      <sz val="8"/>
      <name val=".VnHelvetIns"/>
      <family val="2"/>
    </font>
    <font>
      <sz val="12"/>
      <name val="VNTime"/>
    </font>
    <font>
      <b/>
      <sz val="13"/>
      <color indexed="8"/>
      <name val=".VnTimeH"/>
      <family val="2"/>
    </font>
    <font>
      <b/>
      <sz val="18"/>
      <color indexed="62"/>
      <name val="Cambria"/>
      <family val="2"/>
    </font>
    <font>
      <sz val="10"/>
      <name val="VNtimes new roman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UVnTime"/>
      <family val="2"/>
    </font>
    <font>
      <sz val="16"/>
      <name val="AngsanaUPC"/>
      <family val="3"/>
    </font>
    <font>
      <sz val="8"/>
      <name val=".VnTime"/>
      <family val="2"/>
    </font>
    <font>
      <sz val="12"/>
      <color indexed="8"/>
      <name val="Times New Roman"/>
      <family val="2"/>
    </font>
    <font>
      <sz val="10"/>
      <color indexed="8"/>
      <name val="Arial Narrow"/>
      <family val="2"/>
    </font>
    <font>
      <sz val="11"/>
      <name val="VNI-Times"/>
    </font>
    <font>
      <sz val="12"/>
      <name val="돋움체"/>
      <family val="3"/>
      <charset val="129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0"/>
      <name val="AngsanaUPC"/>
      <family val="1"/>
    </font>
    <font>
      <sz val="12"/>
      <name val="|??¢¥¢¬¨Ï"/>
      <family val="1"/>
      <charset val="129"/>
    </font>
    <font>
      <sz val="10"/>
      <name val="VNI-Times"/>
    </font>
    <font>
      <sz val="10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4"/>
      <name val="VNTime"/>
    </font>
    <font>
      <b/>
      <u/>
      <sz val="10"/>
      <name val="VNI-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sz val="11"/>
      <color indexed="9"/>
      <name val="Calibri"/>
      <family val="2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Tms Rmn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sz val="11"/>
      <name val="VNbook-Antiqua"/>
      <family val="2"/>
    </font>
    <font>
      <sz val="11"/>
      <name val="VNtimes new roman"/>
      <family val="2"/>
    </font>
    <font>
      <sz val="11"/>
      <name val="Tms Rmn"/>
    </font>
    <font>
      <sz val="10"/>
      <name val="BERNHARD"/>
    </font>
    <font>
      <b/>
      <sz val="12"/>
      <name val="VNTime"/>
      <family val="2"/>
    </font>
    <font>
      <sz val="10"/>
      <name val="MS Serif"/>
      <family val="1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2"/>
      <name val="VNTimeH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4"/>
      <name val="VNtimes new roman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6"/>
      <color indexed="14"/>
      <name val="VNottawa"/>
      <family val="2"/>
    </font>
    <font>
      <sz val="8"/>
      <color indexed="8"/>
      <name val="Helvetica"/>
    </font>
    <font>
      <sz val="12"/>
      <name val="VNTime"/>
      <family val="2"/>
    </font>
    <font>
      <sz val="10"/>
      <name val=".VnArialH"/>
      <family val="2"/>
    </font>
    <font>
      <b/>
      <sz val="12"/>
      <color indexed="9"/>
      <name val="Tms Rmn"/>
    </font>
    <font>
      <b/>
      <sz val="8"/>
      <name val="MS Sans Serif"/>
      <family val="2"/>
    </font>
    <font>
      <sz val="10"/>
      <name val="vnTimesRoman"/>
    </font>
    <font>
      <sz val="12"/>
      <name val="±¼¸²Ã¼"/>
      <family val="3"/>
      <charset val="129"/>
    </font>
    <font>
      <u/>
      <sz val="10"/>
      <color indexed="12"/>
      <name val=".VnTime"/>
      <family val="2"/>
    </font>
    <font>
      <u/>
      <sz val="12"/>
      <color indexed="12"/>
      <name val="Arial"/>
      <family val="2"/>
    </font>
    <font>
      <sz val="10"/>
      <name val="VNI-Avo"/>
    </font>
    <font>
      <b/>
      <sz val="11"/>
      <color indexed="9"/>
      <name val="Calibri"/>
      <family val="2"/>
    </font>
    <font>
      <b/>
      <sz val="14"/>
      <name val=".VnArialH"/>
      <family val="2"/>
    </font>
    <font>
      <sz val="8"/>
      <name val="VNarial"/>
      <family val="2"/>
    </font>
    <font>
      <sz val="12"/>
      <name val="???"/>
      <family val="1"/>
      <charset val="129"/>
    </font>
    <font>
      <sz val="10"/>
      <name val="VNlucida sans"/>
      <family val="2"/>
    </font>
    <font>
      <sz val="11"/>
      <name val="VNI-Aptima"/>
    </font>
    <font>
      <sz val="11"/>
      <color indexed="52"/>
      <name val="Calibri"/>
      <family val="2"/>
    </font>
    <font>
      <sz val="14"/>
      <name val=".VnArial Narrow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b/>
      <sz val="12"/>
      <name val="VNI-Times"/>
    </font>
    <font>
      <sz val="11"/>
      <name val=".VnAvant"/>
      <family val="2"/>
    </font>
    <font>
      <b/>
      <u val="double"/>
      <sz val="12"/>
      <color indexed="12"/>
      <name val=".VnBahamasB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1"/>
      <color indexed="8"/>
      <name val="Calibri"/>
      <family val="2"/>
    </font>
    <font>
      <b/>
      <sz val="10"/>
      <name val=".VnArialH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.VnArial Narrow"/>
      <family val="2"/>
    </font>
    <font>
      <sz val="9"/>
      <name val="VNswitzerlandCondensed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VNI-Helve"/>
    </font>
    <font>
      <sz val="10"/>
      <color indexed="8"/>
      <name val="MS Sans Serif"/>
      <family val="2"/>
    </font>
    <font>
      <sz val="14"/>
      <name val="VnTime"/>
      <family val="2"/>
    </font>
    <font>
      <sz val="10"/>
      <name val="Geneva"/>
      <family val="2"/>
    </font>
    <font>
      <sz val="11"/>
      <color indexed="20"/>
      <name val="Calibri"/>
      <family val="2"/>
    </font>
    <font>
      <sz val="12"/>
      <color indexed="8"/>
      <name val="바탕체"/>
      <family val="3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rgb="FF7030A0"/>
      <name val="Times New Roman"/>
      <family val="1"/>
    </font>
    <font>
      <sz val="12"/>
      <color theme="5"/>
      <name val="Times New Roman"/>
      <family val="1"/>
    </font>
    <font>
      <sz val="12"/>
      <color rgb="FF7030A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5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7030A0"/>
      <name val="Times New Roman"/>
      <family val="1"/>
    </font>
    <font>
      <b/>
      <i/>
      <sz val="10"/>
      <color theme="5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00B050"/>
      <name val="Times New Roman"/>
      <family val="1"/>
    </font>
    <font>
      <b/>
      <i/>
      <sz val="10"/>
      <color rgb="FF7030A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rgb="FF7030A0"/>
      <name val="Times New Roman"/>
      <family val="1"/>
    </font>
    <font>
      <sz val="10"/>
      <color rgb="FF7030A0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2"/>
      <color rgb="FF7030A0"/>
      <name val="Times New Roman"/>
      <family val="1"/>
    </font>
    <font>
      <b/>
      <sz val="10"/>
      <color rgb="FF002060"/>
      <name val="Times New Roman"/>
      <family val="1"/>
    </font>
    <font>
      <b/>
      <sz val="12"/>
      <color rgb="FF002060"/>
      <name val="Times New Roman"/>
      <family val="1"/>
    </font>
    <font>
      <sz val="10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00B050"/>
      <name val="Times New Roman"/>
      <family val="1"/>
    </font>
    <font>
      <sz val="10"/>
      <color theme="5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0"/>
      <color rgb="FF7030A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B05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FF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0000FF"/>
      <name val="Times New Roman"/>
      <family val="1"/>
    </font>
    <font>
      <sz val="11"/>
      <color theme="0"/>
      <name val="Times New Roman"/>
      <family val="1"/>
    </font>
    <font>
      <b/>
      <u/>
      <sz val="11"/>
      <name val="Times New Roman"/>
      <family val="1"/>
    </font>
    <font>
      <b/>
      <sz val="11"/>
      <color theme="0"/>
      <name val="Times New Roman"/>
      <family val="1"/>
    </font>
    <font>
      <sz val="9"/>
      <color indexed="81"/>
      <name val="Tahoma"/>
      <family val="2"/>
    </font>
    <font>
      <sz val="11"/>
      <color theme="1"/>
      <name val="Calibri"/>
      <family val="2"/>
    </font>
    <font>
      <b/>
      <i/>
      <sz val="11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9"/>
        <b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41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320">
    <xf numFmtId="0" fontId="0" fillId="0" borderId="0"/>
    <xf numFmtId="0" fontId="31" fillId="0" borderId="0"/>
    <xf numFmtId="184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91" fontId="36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5" fillId="0" borderId="0"/>
    <xf numFmtId="193" fontId="21" fillId="0" borderId="0" applyFont="0" applyFill="0" applyBorder="0" applyAlignment="0" applyProtection="0"/>
    <xf numFmtId="191" fontId="36" fillId="0" borderId="0" applyFont="0" applyFill="0" applyBorder="0" applyAlignment="0" applyProtection="0"/>
    <xf numFmtId="194" fontId="35" fillId="0" borderId="0" applyFont="0" applyFill="0" applyBorder="0" applyAlignment="0" applyProtection="0"/>
    <xf numFmtId="192" fontId="35" fillId="0" borderId="0" applyFont="0" applyFill="0" applyBorder="0" applyAlignment="0" applyProtection="0"/>
    <xf numFmtId="191" fontId="36" fillId="0" borderId="0" applyFont="0" applyFill="0" applyBorder="0" applyAlignment="0" applyProtection="0"/>
    <xf numFmtId="194" fontId="35" fillId="0" borderId="0" applyFont="0" applyFill="0" applyBorder="0" applyAlignment="0" applyProtection="0"/>
    <xf numFmtId="195" fontId="21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22" fillId="0" borderId="1" applyFont="0" applyAlignment="0">
      <alignment horizontal="left"/>
    </xf>
    <xf numFmtId="0" fontId="23" fillId="2" borderId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4" fillId="2" borderId="0"/>
    <xf numFmtId="0" fontId="25" fillId="2" borderId="0"/>
    <xf numFmtId="0" fontId="26" fillId="0" borderId="0">
      <alignment wrapText="1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43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52" fillId="0" borderId="0" applyFont="0" applyFill="0" applyBorder="0" applyAlignment="0" applyProtection="0"/>
    <xf numFmtId="172" fontId="52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52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2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3" fontId="5" fillId="0" borderId="0" applyFont="0" applyFill="0" applyBorder="0" applyAlignment="0" applyProtection="0"/>
    <xf numFmtId="196" fontId="21" fillId="0" borderId="0" applyFont="0" applyFill="0" applyBorder="0" applyAlignment="0" applyProtection="0"/>
    <xf numFmtId="170" fontId="3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11" fillId="0" borderId="0" applyFont="0" applyFill="0" applyBorder="0" applyProtection="0">
      <alignment vertical="center"/>
    </xf>
    <xf numFmtId="186" fontId="2" fillId="0" borderId="0" applyFont="0" applyFill="0" applyBorder="0" applyProtection="0">
      <alignment vertical="center"/>
    </xf>
    <xf numFmtId="199" fontId="21" fillId="0" borderId="0" applyFont="0" applyFill="0" applyBorder="0" applyAlignment="0" applyProtection="0"/>
    <xf numFmtId="18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38" fontId="29" fillId="3" borderId="0" applyNumberFormat="0" applyBorder="0" applyAlignment="0" applyProtection="0"/>
    <xf numFmtId="0" fontId="39" fillId="0" borderId="0" applyNumberFormat="0" applyFont="0" applyBorder="0" applyAlignment="0">
      <alignment horizontal="left" vertical="center"/>
    </xf>
    <xf numFmtId="49" fontId="12" fillId="0" borderId="0">
      <alignment vertical="center" wrapText="1" shrinkToFit="1"/>
    </xf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9" fontId="4" fillId="0" borderId="4">
      <alignment vertical="center"/>
    </xf>
    <xf numFmtId="0" fontId="40" fillId="0" borderId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0" fontId="29" fillId="3" borderId="4" applyNumberFormat="0" applyBorder="0" applyAlignment="0" applyProtection="0"/>
    <xf numFmtId="0" fontId="31" fillId="0" borderId="0" applyNumberFormat="0" applyFont="0" applyFill="0" applyAlignment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/>
    <xf numFmtId="0" fontId="14" fillId="0" borderId="0"/>
    <xf numFmtId="0" fontId="41" fillId="0" borderId="0"/>
    <xf numFmtId="0" fontId="42" fillId="0" borderId="0"/>
    <xf numFmtId="0" fontId="42" fillId="0" borderId="0"/>
    <xf numFmtId="0" fontId="5" fillId="0" borderId="5" applyNumberFormat="0" applyFont="0" applyFill="0" applyAlignment="0" applyProtection="0"/>
    <xf numFmtId="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185" fontId="30" fillId="0" borderId="6"/>
    <xf numFmtId="0" fontId="31" fillId="0" borderId="0" applyNumberFormat="0" applyFont="0" applyFill="0" applyAlignment="0"/>
    <xf numFmtId="189" fontId="32" fillId="0" borderId="0"/>
    <xf numFmtId="0" fontId="1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15" fillId="0" borderId="0"/>
    <xf numFmtId="0" fontId="2" fillId="0" borderId="0"/>
    <xf numFmtId="10" fontId="33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5" fillId="0" borderId="0">
      <alignment vertical="center"/>
    </xf>
    <xf numFmtId="200" fontId="42" fillId="0" borderId="7">
      <alignment horizontal="right" vertical="center"/>
    </xf>
    <xf numFmtId="49" fontId="3" fillId="0" borderId="0" applyFont="0" applyFill="0" applyBorder="0" applyProtection="0">
      <alignment horizontal="center" vertical="center" wrapText="1" shrinkToFit="1"/>
    </xf>
    <xf numFmtId="0" fontId="5" fillId="0" borderId="5" applyNumberFormat="0" applyFont="0" applyFill="0" applyAlignment="0" applyProtection="0"/>
    <xf numFmtId="201" fontId="42" fillId="0" borderId="7">
      <alignment horizontal="center"/>
    </xf>
    <xf numFmtId="185" fontId="13" fillId="0" borderId="0">
      <alignment horizontal="centerContinuous"/>
      <protection locked="0"/>
    </xf>
    <xf numFmtId="202" fontId="42" fillId="0" borderId="0"/>
    <xf numFmtId="203" fontId="42" fillId="0" borderId="4"/>
    <xf numFmtId="0" fontId="43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5" fillId="0" borderId="0">
      <alignment vertical="center"/>
    </xf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1" fillId="0" borderId="0"/>
    <xf numFmtId="168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90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" fillId="0" borderId="0"/>
    <xf numFmtId="0" fontId="19" fillId="0" borderId="0"/>
    <xf numFmtId="41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2" fillId="0" borderId="0"/>
    <xf numFmtId="0" fontId="76" fillId="0" borderId="0"/>
    <xf numFmtId="167" fontId="28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23" fillId="0" borderId="4"/>
    <xf numFmtId="0" fontId="122" fillId="0" borderId="0"/>
    <xf numFmtId="221" fontId="78" fillId="0" borderId="0" applyBorder="0"/>
    <xf numFmtId="188" fontId="79" fillId="0" borderId="20" applyFont="0" applyBorder="0"/>
    <xf numFmtId="188" fontId="79" fillId="0" borderId="20" applyFont="0" applyBorder="0"/>
    <xf numFmtId="221" fontId="67" fillId="0" borderId="0" applyBorder="0"/>
    <xf numFmtId="221" fontId="78" fillId="0" borderId="0" applyBorder="0"/>
    <xf numFmtId="221" fontId="78" fillId="0" borderId="0" applyBorder="0"/>
    <xf numFmtId="188" fontId="79" fillId="0" borderId="20" applyFont="0" applyBorder="0"/>
    <xf numFmtId="0" fontId="2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246" fontId="4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124" fillId="0" borderId="21"/>
    <xf numFmtId="175" fontId="118" fillId="0" borderId="0" applyFont="0" applyFill="0" applyBorder="0" applyAlignment="0" applyProtection="0"/>
    <xf numFmtId="176" fontId="118" fillId="0" borderId="0" applyFont="0" applyFill="0" applyBorder="0" applyAlignment="0" applyProtection="0"/>
    <xf numFmtId="247" fontId="21" fillId="0" borderId="0" applyFont="0" applyFill="0" applyBorder="0" applyAlignment="0" applyProtection="0"/>
    <xf numFmtId="168" fontId="125" fillId="0" borderId="0" applyFont="0" applyFill="0" applyBorder="0" applyAlignment="0" applyProtection="0"/>
    <xf numFmtId="170" fontId="125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27" fillId="0" borderId="0"/>
    <xf numFmtId="0" fontId="5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42" fontId="128" fillId="0" borderId="0" applyFont="0" applyFill="0" applyBorder="0" applyAlignment="0" applyProtection="0"/>
    <xf numFmtId="208" fontId="2" fillId="0" borderId="0" applyFont="0" applyFill="0" applyBorder="0" applyAlignment="0" applyProtection="0"/>
    <xf numFmtId="42" fontId="128" fillId="0" borderId="0" applyFont="0" applyFill="0" applyBorder="0" applyAlignment="0" applyProtection="0"/>
    <xf numFmtId="0" fontId="97" fillId="0" borderId="0"/>
    <xf numFmtId="0" fontId="91" fillId="0" borderId="0">
      <alignment vertical="top"/>
    </xf>
    <xf numFmtId="0" fontId="91" fillId="0" borderId="0">
      <alignment vertical="top"/>
    </xf>
    <xf numFmtId="0" fontId="44" fillId="0" borderId="0"/>
    <xf numFmtId="42" fontId="128" fillId="0" borderId="0" applyFont="0" applyFill="0" applyBorder="0" applyAlignment="0" applyProtection="0"/>
    <xf numFmtId="201" fontId="28" fillId="0" borderId="0" applyFont="0" applyFill="0" applyBorder="0" applyAlignment="0" applyProtection="0"/>
    <xf numFmtId="248" fontId="128" fillId="0" borderId="0" applyFont="0" applyFill="0" applyBorder="0" applyAlignment="0" applyProtection="0"/>
    <xf numFmtId="249" fontId="128" fillId="0" borderId="0" applyFont="0" applyFill="0" applyBorder="0" applyAlignment="0" applyProtection="0"/>
    <xf numFmtId="248" fontId="128" fillId="0" borderId="0" applyFont="0" applyFill="0" applyBorder="0" applyAlignment="0" applyProtection="0"/>
    <xf numFmtId="201" fontId="2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/>
    <xf numFmtId="0" fontId="21" fillId="0" borderId="0" applyNumberFormat="0" applyFill="0" applyBorder="0" applyAlignment="0" applyProtection="0"/>
    <xf numFmtId="201" fontId="28" fillId="0" borderId="0" applyFont="0" applyFill="0" applyBorder="0" applyAlignment="0" applyProtection="0"/>
    <xf numFmtId="0" fontId="44" fillId="0" borderId="0"/>
    <xf numFmtId="42" fontId="128" fillId="0" borderId="0" applyFont="0" applyFill="0" applyBorder="0" applyAlignment="0" applyProtection="0"/>
    <xf numFmtId="42" fontId="128" fillId="0" borderId="0" applyFont="0" applyFill="0" applyBorder="0" applyAlignment="0" applyProtection="0"/>
    <xf numFmtId="167" fontId="1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250" fontId="28" fillId="0" borderId="0" applyFont="0" applyFill="0" applyBorder="0" applyAlignment="0" applyProtection="0"/>
    <xf numFmtId="175" fontId="128" fillId="0" borderId="0" applyFont="0" applyFill="0" applyBorder="0" applyAlignment="0" applyProtection="0"/>
    <xf numFmtId="175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9" fontId="129" fillId="0" borderId="0" applyFont="0" applyFill="0" applyBorder="0" applyAlignment="0" applyProtection="0"/>
    <xf numFmtId="251" fontId="28" fillId="0" borderId="0" applyFont="0" applyFill="0" applyBorder="0" applyAlignment="0" applyProtection="0"/>
    <xf numFmtId="251" fontId="28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129" fillId="0" borderId="0" applyFont="0" applyFill="0" applyBorder="0" applyAlignment="0" applyProtection="0"/>
    <xf numFmtId="251" fontId="28" fillId="0" borderId="0" applyFont="0" applyFill="0" applyBorder="0" applyAlignment="0" applyProtection="0"/>
    <xf numFmtId="169" fontId="129" fillId="0" borderId="0" applyFont="0" applyFill="0" applyBorder="0" applyAlignment="0" applyProtection="0"/>
    <xf numFmtId="192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252" fontId="28" fillId="0" borderId="0" applyFont="0" applyFill="0" applyBorder="0" applyAlignment="0" applyProtection="0"/>
    <xf numFmtId="252" fontId="28" fillId="0" borderId="0" applyFont="0" applyFill="0" applyBorder="0" applyAlignment="0" applyProtection="0"/>
    <xf numFmtId="253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254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4" fontId="128" fillId="0" borderId="0" applyFont="0" applyFill="0" applyBorder="0" applyAlignment="0" applyProtection="0"/>
    <xf numFmtId="256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4" fontId="128" fillId="0" borderId="0" applyFont="0" applyFill="0" applyBorder="0" applyAlignment="0" applyProtection="0"/>
    <xf numFmtId="257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8" fontId="128" fillId="0" borderId="0" applyFont="0" applyFill="0" applyBorder="0" applyAlignment="0" applyProtection="0"/>
    <xf numFmtId="258" fontId="128" fillId="0" borderId="0" applyFont="0" applyFill="0" applyBorder="0" applyAlignment="0" applyProtection="0"/>
    <xf numFmtId="254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7" fontId="128" fillId="0" borderId="0" applyFont="0" applyFill="0" applyBorder="0" applyAlignment="0" applyProtection="0"/>
    <xf numFmtId="257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9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174" fontId="28" fillId="0" borderId="0" applyFont="0" applyFill="0" applyBorder="0" applyAlignment="0" applyProtection="0"/>
    <xf numFmtId="255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168" fontId="129" fillId="0" borderId="0" applyFont="0" applyFill="0" applyBorder="0" applyAlignment="0" applyProtection="0"/>
    <xf numFmtId="260" fontId="128" fillId="0" borderId="0" applyFont="0" applyFill="0" applyBorder="0" applyAlignment="0" applyProtection="0"/>
    <xf numFmtId="260" fontId="128" fillId="0" borderId="0" applyFont="0" applyFill="0" applyBorder="0" applyAlignment="0" applyProtection="0"/>
    <xf numFmtId="243" fontId="5" fillId="0" borderId="0" applyFont="0" applyFill="0" applyBorder="0" applyAlignment="0" applyProtection="0"/>
    <xf numFmtId="170" fontId="129" fillId="0" borderId="0" applyFont="0" applyFill="0" applyBorder="0" applyAlignment="0" applyProtection="0"/>
    <xf numFmtId="260" fontId="128" fillId="0" borderId="0" applyFont="0" applyFill="0" applyBorder="0" applyAlignment="0" applyProtection="0"/>
    <xf numFmtId="168" fontId="129" fillId="0" borderId="0" applyFont="0" applyFill="0" applyBorder="0" applyAlignment="0" applyProtection="0"/>
    <xf numFmtId="203" fontId="42" fillId="0" borderId="0" applyFont="0" applyFill="0" applyBorder="0" applyAlignment="0" applyProtection="0"/>
    <xf numFmtId="259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170" fontId="128" fillId="0" borderId="0" applyFont="0" applyFill="0" applyBorder="0" applyAlignment="0" applyProtection="0"/>
    <xf numFmtId="170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168" fontId="28" fillId="0" borderId="0" applyFont="0" applyFill="0" applyBorder="0" applyAlignment="0" applyProtection="0"/>
    <xf numFmtId="175" fontId="128" fillId="0" borderId="0" applyFont="0" applyFill="0" applyBorder="0" applyAlignment="0" applyProtection="0"/>
    <xf numFmtId="201" fontId="28" fillId="0" borderId="0" applyFont="0" applyFill="0" applyBorder="0" applyAlignment="0" applyProtection="0"/>
    <xf numFmtId="248" fontId="128" fillId="0" borderId="0" applyFont="0" applyFill="0" applyBorder="0" applyAlignment="0" applyProtection="0"/>
    <xf numFmtId="249" fontId="128" fillId="0" borderId="0" applyFont="0" applyFill="0" applyBorder="0" applyAlignment="0" applyProtection="0"/>
    <xf numFmtId="248" fontId="128" fillId="0" borderId="0" applyFont="0" applyFill="0" applyBorder="0" applyAlignment="0" applyProtection="0"/>
    <xf numFmtId="167" fontId="112" fillId="0" borderId="0" applyFont="0" applyFill="0" applyBorder="0" applyAlignment="0" applyProtection="0"/>
    <xf numFmtId="250" fontId="28" fillId="0" borderId="0" applyFont="0" applyFill="0" applyBorder="0" applyAlignment="0" applyProtection="0"/>
    <xf numFmtId="42" fontId="128" fillId="0" borderId="0" applyFont="0" applyFill="0" applyBorder="0" applyAlignment="0" applyProtection="0"/>
    <xf numFmtId="42" fontId="128" fillId="0" borderId="0" applyFont="0" applyFill="0" applyBorder="0" applyAlignment="0" applyProtection="0"/>
    <xf numFmtId="248" fontId="128" fillId="0" borderId="0" applyFont="0" applyFill="0" applyBorder="0" applyAlignment="0" applyProtection="0"/>
    <xf numFmtId="167" fontId="112" fillId="0" borderId="0" applyFont="0" applyFill="0" applyBorder="0" applyAlignment="0" applyProtection="0"/>
    <xf numFmtId="245" fontId="128" fillId="0" borderId="0" applyFont="0" applyFill="0" applyBorder="0" applyAlignment="0" applyProtection="0"/>
    <xf numFmtId="201" fontId="28" fillId="0" borderId="0" applyFont="0" applyFill="0" applyBorder="0" applyAlignment="0" applyProtection="0"/>
    <xf numFmtId="165" fontId="129" fillId="0" borderId="0" applyFont="0" applyFill="0" applyBorder="0" applyAlignment="0" applyProtection="0"/>
    <xf numFmtId="261" fontId="128" fillId="0" borderId="0" applyFont="0" applyFill="0" applyBorder="0" applyAlignment="0" applyProtection="0"/>
    <xf numFmtId="261" fontId="128" fillId="0" borderId="0" applyFont="0" applyFill="0" applyBorder="0" applyAlignment="0" applyProtection="0"/>
    <xf numFmtId="166" fontId="129" fillId="0" borderId="0" applyFont="0" applyFill="0" applyBorder="0" applyAlignment="0" applyProtection="0"/>
    <xf numFmtId="261" fontId="128" fillId="0" borderId="0" applyFont="0" applyFill="0" applyBorder="0" applyAlignment="0" applyProtection="0"/>
    <xf numFmtId="165" fontId="129" fillId="0" borderId="0" applyFont="0" applyFill="0" applyBorder="0" applyAlignment="0" applyProtection="0"/>
    <xf numFmtId="261" fontId="128" fillId="0" borderId="0" applyFont="0" applyFill="0" applyBorder="0" applyAlignment="0" applyProtection="0"/>
    <xf numFmtId="201" fontId="128" fillId="0" borderId="0" applyFont="0" applyFill="0" applyBorder="0" applyAlignment="0" applyProtection="0"/>
    <xf numFmtId="201" fontId="128" fillId="0" borderId="0" applyFont="0" applyFill="0" applyBorder="0" applyAlignment="0" applyProtection="0"/>
    <xf numFmtId="166" fontId="129" fillId="0" borderId="0" applyFont="0" applyFill="0" applyBorder="0" applyAlignment="0" applyProtection="0"/>
    <xf numFmtId="262" fontId="128" fillId="0" borderId="0" applyFont="0" applyFill="0" applyBorder="0" applyAlignment="0" applyProtection="0"/>
    <xf numFmtId="262" fontId="128" fillId="0" borderId="0" applyFont="0" applyFill="0" applyBorder="0" applyAlignment="0" applyProtection="0"/>
    <xf numFmtId="241" fontId="5" fillId="0" borderId="0" applyFont="0" applyFill="0" applyBorder="0" applyAlignment="0" applyProtection="0"/>
    <xf numFmtId="168" fontId="129" fillId="0" borderId="0" applyFont="0" applyFill="0" applyBorder="0" applyAlignment="0" applyProtection="0"/>
    <xf numFmtId="262" fontId="128" fillId="0" borderId="0" applyFont="0" applyFill="0" applyBorder="0" applyAlignment="0" applyProtection="0"/>
    <xf numFmtId="166" fontId="129" fillId="0" borderId="0" applyFont="0" applyFill="0" applyBorder="0" applyAlignment="0" applyProtection="0"/>
    <xf numFmtId="178" fontId="42" fillId="0" borderId="0" applyFont="0" applyFill="0" applyBorder="0" applyAlignment="0" applyProtection="0"/>
    <xf numFmtId="263" fontId="128" fillId="0" borderId="0" applyFont="0" applyFill="0" applyBorder="0" applyAlignment="0" applyProtection="0"/>
    <xf numFmtId="42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254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4" fontId="128" fillId="0" borderId="0" applyFont="0" applyFill="0" applyBorder="0" applyAlignment="0" applyProtection="0"/>
    <xf numFmtId="256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4" fontId="128" fillId="0" borderId="0" applyFont="0" applyFill="0" applyBorder="0" applyAlignment="0" applyProtection="0"/>
    <xf numFmtId="257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8" fontId="128" fillId="0" borderId="0" applyFont="0" applyFill="0" applyBorder="0" applyAlignment="0" applyProtection="0"/>
    <xf numFmtId="258" fontId="128" fillId="0" borderId="0" applyFont="0" applyFill="0" applyBorder="0" applyAlignment="0" applyProtection="0"/>
    <xf numFmtId="254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7" fontId="128" fillId="0" borderId="0" applyFont="0" applyFill="0" applyBorder="0" applyAlignment="0" applyProtection="0"/>
    <xf numFmtId="257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9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174" fontId="28" fillId="0" borderId="0" applyFont="0" applyFill="0" applyBorder="0" applyAlignment="0" applyProtection="0"/>
    <xf numFmtId="255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168" fontId="129" fillId="0" borderId="0" applyFont="0" applyFill="0" applyBorder="0" applyAlignment="0" applyProtection="0"/>
    <xf numFmtId="260" fontId="128" fillId="0" borderId="0" applyFont="0" applyFill="0" applyBorder="0" applyAlignment="0" applyProtection="0"/>
    <xf numFmtId="260" fontId="128" fillId="0" borderId="0" applyFont="0" applyFill="0" applyBorder="0" applyAlignment="0" applyProtection="0"/>
    <xf numFmtId="243" fontId="5" fillId="0" borderId="0" applyFont="0" applyFill="0" applyBorder="0" applyAlignment="0" applyProtection="0"/>
    <xf numFmtId="170" fontId="129" fillId="0" borderId="0" applyFont="0" applyFill="0" applyBorder="0" applyAlignment="0" applyProtection="0"/>
    <xf numFmtId="260" fontId="128" fillId="0" borderId="0" applyFont="0" applyFill="0" applyBorder="0" applyAlignment="0" applyProtection="0"/>
    <xf numFmtId="168" fontId="129" fillId="0" borderId="0" applyFont="0" applyFill="0" applyBorder="0" applyAlignment="0" applyProtection="0"/>
    <xf numFmtId="203" fontId="42" fillId="0" borderId="0" applyFont="0" applyFill="0" applyBorder="0" applyAlignment="0" applyProtection="0"/>
    <xf numFmtId="259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170" fontId="1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252" fontId="28" fillId="0" borderId="0" applyFont="0" applyFill="0" applyBorder="0" applyAlignment="0" applyProtection="0"/>
    <xf numFmtId="252" fontId="28" fillId="0" borderId="0" applyFont="0" applyFill="0" applyBorder="0" applyAlignment="0" applyProtection="0"/>
    <xf numFmtId="170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09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09" fontId="128" fillId="0" borderId="0" applyFont="0" applyFill="0" applyBorder="0" applyAlignment="0" applyProtection="0"/>
    <xf numFmtId="265" fontId="128" fillId="0" borderId="0" applyFont="0" applyFill="0" applyBorder="0" applyAlignment="0" applyProtection="0"/>
    <xf numFmtId="208" fontId="28" fillId="0" borderId="0" applyFont="0" applyFill="0" applyBorder="0" applyAlignment="0" applyProtection="0"/>
    <xf numFmtId="171" fontId="128" fillId="0" borderId="0" applyFont="0" applyFill="0" applyBorder="0" applyAlignment="0" applyProtection="0"/>
    <xf numFmtId="208" fontId="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09" fontId="128" fillId="0" borderId="0" applyFont="0" applyFill="0" applyBorder="0" applyAlignment="0" applyProtection="0"/>
    <xf numFmtId="266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7" fontId="128" fillId="0" borderId="0" applyFont="0" applyFill="0" applyBorder="0" applyAlignment="0" applyProtection="0"/>
    <xf numFmtId="268" fontId="128" fillId="0" borderId="0" applyFont="0" applyFill="0" applyBorder="0" applyAlignment="0" applyProtection="0"/>
    <xf numFmtId="267" fontId="128" fillId="0" borderId="0" applyFont="0" applyFill="0" applyBorder="0" applyAlignment="0" applyProtection="0"/>
    <xf numFmtId="209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6" fontId="128" fillId="0" borderId="0" applyFont="0" applyFill="0" applyBorder="0" applyAlignment="0" applyProtection="0"/>
    <xf numFmtId="266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9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173" fontId="28" fillId="0" borderId="0" applyFont="0" applyFill="0" applyBorder="0" applyAlignment="0" applyProtection="0"/>
    <xf numFmtId="264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167" fontId="129" fillId="0" borderId="0" applyFont="0" applyFill="0" applyBorder="0" applyAlignment="0" applyProtection="0"/>
    <xf numFmtId="270" fontId="128" fillId="0" borderId="0" applyFont="0" applyFill="0" applyBorder="0" applyAlignment="0" applyProtection="0"/>
    <xf numFmtId="270" fontId="128" fillId="0" borderId="0" applyFont="0" applyFill="0" applyBorder="0" applyAlignment="0" applyProtection="0"/>
    <xf numFmtId="242" fontId="5" fillId="0" borderId="0" applyFont="0" applyFill="0" applyBorder="0" applyAlignment="0" applyProtection="0"/>
    <xf numFmtId="169" fontId="129" fillId="0" borderId="0" applyFont="0" applyFill="0" applyBorder="0" applyAlignment="0" applyProtection="0"/>
    <xf numFmtId="270" fontId="128" fillId="0" borderId="0" applyFont="0" applyFill="0" applyBorder="0" applyAlignment="0" applyProtection="0"/>
    <xf numFmtId="167" fontId="129" fillId="0" borderId="0" applyFont="0" applyFill="0" applyBorder="0" applyAlignment="0" applyProtection="0"/>
    <xf numFmtId="271" fontId="42" fillId="0" borderId="0" applyFont="0" applyFill="0" applyBorder="0" applyAlignment="0" applyProtection="0"/>
    <xf numFmtId="264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01" fontId="28" fillId="0" borderId="0" applyFont="0" applyFill="0" applyBorder="0" applyAlignment="0" applyProtection="0"/>
    <xf numFmtId="248" fontId="128" fillId="0" borderId="0" applyFont="0" applyFill="0" applyBorder="0" applyAlignment="0" applyProtection="0"/>
    <xf numFmtId="249" fontId="128" fillId="0" borderId="0" applyFont="0" applyFill="0" applyBorder="0" applyAlignment="0" applyProtection="0"/>
    <xf numFmtId="248" fontId="128" fillId="0" borderId="0" applyFont="0" applyFill="0" applyBorder="0" applyAlignment="0" applyProtection="0"/>
    <xf numFmtId="167" fontId="112" fillId="0" borderId="0" applyFont="0" applyFill="0" applyBorder="0" applyAlignment="0" applyProtection="0"/>
    <xf numFmtId="250" fontId="28" fillId="0" borderId="0" applyFont="0" applyFill="0" applyBorder="0" applyAlignment="0" applyProtection="0"/>
    <xf numFmtId="42" fontId="128" fillId="0" borderId="0" applyFont="0" applyFill="0" applyBorder="0" applyAlignment="0" applyProtection="0"/>
    <xf numFmtId="42" fontId="128" fillId="0" borderId="0" applyFont="0" applyFill="0" applyBorder="0" applyAlignment="0" applyProtection="0"/>
    <xf numFmtId="248" fontId="128" fillId="0" borderId="0" applyFont="0" applyFill="0" applyBorder="0" applyAlignment="0" applyProtection="0"/>
    <xf numFmtId="167" fontId="112" fillId="0" borderId="0" applyFont="0" applyFill="0" applyBorder="0" applyAlignment="0" applyProtection="0"/>
    <xf numFmtId="245" fontId="128" fillId="0" borderId="0" applyFont="0" applyFill="0" applyBorder="0" applyAlignment="0" applyProtection="0"/>
    <xf numFmtId="201" fontId="28" fillId="0" borderId="0" applyFont="0" applyFill="0" applyBorder="0" applyAlignment="0" applyProtection="0"/>
    <xf numFmtId="165" fontId="129" fillId="0" borderId="0" applyFont="0" applyFill="0" applyBorder="0" applyAlignment="0" applyProtection="0"/>
    <xf numFmtId="261" fontId="128" fillId="0" borderId="0" applyFont="0" applyFill="0" applyBorder="0" applyAlignment="0" applyProtection="0"/>
    <xf numFmtId="261" fontId="128" fillId="0" borderId="0" applyFont="0" applyFill="0" applyBorder="0" applyAlignment="0" applyProtection="0"/>
    <xf numFmtId="166" fontId="129" fillId="0" borderId="0" applyFont="0" applyFill="0" applyBorder="0" applyAlignment="0" applyProtection="0"/>
    <xf numFmtId="261" fontId="128" fillId="0" borderId="0" applyFont="0" applyFill="0" applyBorder="0" applyAlignment="0" applyProtection="0"/>
    <xf numFmtId="165" fontId="129" fillId="0" borderId="0" applyFont="0" applyFill="0" applyBorder="0" applyAlignment="0" applyProtection="0"/>
    <xf numFmtId="261" fontId="128" fillId="0" borderId="0" applyFont="0" applyFill="0" applyBorder="0" applyAlignment="0" applyProtection="0"/>
    <xf numFmtId="201" fontId="128" fillId="0" borderId="0" applyFont="0" applyFill="0" applyBorder="0" applyAlignment="0" applyProtection="0"/>
    <xf numFmtId="201" fontId="128" fillId="0" borderId="0" applyFont="0" applyFill="0" applyBorder="0" applyAlignment="0" applyProtection="0"/>
    <xf numFmtId="166" fontId="129" fillId="0" borderId="0" applyFont="0" applyFill="0" applyBorder="0" applyAlignment="0" applyProtection="0"/>
    <xf numFmtId="262" fontId="128" fillId="0" borderId="0" applyFont="0" applyFill="0" applyBorder="0" applyAlignment="0" applyProtection="0"/>
    <xf numFmtId="262" fontId="128" fillId="0" borderId="0" applyFont="0" applyFill="0" applyBorder="0" applyAlignment="0" applyProtection="0"/>
    <xf numFmtId="241" fontId="5" fillId="0" borderId="0" applyFont="0" applyFill="0" applyBorder="0" applyAlignment="0" applyProtection="0"/>
    <xf numFmtId="168" fontId="129" fillId="0" borderId="0" applyFont="0" applyFill="0" applyBorder="0" applyAlignment="0" applyProtection="0"/>
    <xf numFmtId="262" fontId="128" fillId="0" borderId="0" applyFont="0" applyFill="0" applyBorder="0" applyAlignment="0" applyProtection="0"/>
    <xf numFmtId="166" fontId="129" fillId="0" borderId="0" applyFont="0" applyFill="0" applyBorder="0" applyAlignment="0" applyProtection="0"/>
    <xf numFmtId="178" fontId="42" fillId="0" borderId="0" applyFont="0" applyFill="0" applyBorder="0" applyAlignment="0" applyProtection="0"/>
    <xf numFmtId="263" fontId="128" fillId="0" borderId="0" applyFont="0" applyFill="0" applyBorder="0" applyAlignment="0" applyProtection="0"/>
    <xf numFmtId="168" fontId="28" fillId="0" borderId="0" applyFont="0" applyFill="0" applyBorder="0" applyAlignment="0" applyProtection="0"/>
    <xf numFmtId="42" fontId="128" fillId="0" borderId="0" applyFont="0" applyFill="0" applyBorder="0" applyAlignment="0" applyProtection="0"/>
    <xf numFmtId="170" fontId="28" fillId="0" borderId="0" applyFont="0" applyFill="0" applyBorder="0" applyAlignment="0" applyProtection="0"/>
    <xf numFmtId="208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09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09" fontId="128" fillId="0" borderId="0" applyFont="0" applyFill="0" applyBorder="0" applyAlignment="0" applyProtection="0"/>
    <xf numFmtId="265" fontId="128" fillId="0" borderId="0" applyFont="0" applyFill="0" applyBorder="0" applyAlignment="0" applyProtection="0"/>
    <xf numFmtId="208" fontId="28" fillId="0" borderId="0" applyFont="0" applyFill="0" applyBorder="0" applyAlignment="0" applyProtection="0"/>
    <xf numFmtId="171" fontId="128" fillId="0" borderId="0" applyFont="0" applyFill="0" applyBorder="0" applyAlignment="0" applyProtection="0"/>
    <xf numFmtId="208" fontId="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09" fontId="128" fillId="0" borderId="0" applyFont="0" applyFill="0" applyBorder="0" applyAlignment="0" applyProtection="0"/>
    <xf numFmtId="266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7" fontId="128" fillId="0" borderId="0" applyFont="0" applyFill="0" applyBorder="0" applyAlignment="0" applyProtection="0"/>
    <xf numFmtId="268" fontId="128" fillId="0" borderId="0" applyFont="0" applyFill="0" applyBorder="0" applyAlignment="0" applyProtection="0"/>
    <xf numFmtId="267" fontId="128" fillId="0" borderId="0" applyFont="0" applyFill="0" applyBorder="0" applyAlignment="0" applyProtection="0"/>
    <xf numFmtId="209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6" fontId="128" fillId="0" borderId="0" applyFont="0" applyFill="0" applyBorder="0" applyAlignment="0" applyProtection="0"/>
    <xf numFmtId="266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9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173" fontId="28" fillId="0" borderId="0" applyFont="0" applyFill="0" applyBorder="0" applyAlignment="0" applyProtection="0"/>
    <xf numFmtId="264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167" fontId="129" fillId="0" borderId="0" applyFont="0" applyFill="0" applyBorder="0" applyAlignment="0" applyProtection="0"/>
    <xf numFmtId="270" fontId="128" fillId="0" borderId="0" applyFont="0" applyFill="0" applyBorder="0" applyAlignment="0" applyProtection="0"/>
    <xf numFmtId="270" fontId="128" fillId="0" borderId="0" applyFont="0" applyFill="0" applyBorder="0" applyAlignment="0" applyProtection="0"/>
    <xf numFmtId="242" fontId="5" fillId="0" borderId="0" applyFont="0" applyFill="0" applyBorder="0" applyAlignment="0" applyProtection="0"/>
    <xf numFmtId="169" fontId="129" fillId="0" borderId="0" applyFont="0" applyFill="0" applyBorder="0" applyAlignment="0" applyProtection="0"/>
    <xf numFmtId="270" fontId="128" fillId="0" borderId="0" applyFont="0" applyFill="0" applyBorder="0" applyAlignment="0" applyProtection="0"/>
    <xf numFmtId="167" fontId="129" fillId="0" borderId="0" applyFont="0" applyFill="0" applyBorder="0" applyAlignment="0" applyProtection="0"/>
    <xf numFmtId="271" fontId="42" fillId="0" borderId="0" applyFont="0" applyFill="0" applyBorder="0" applyAlignment="0" applyProtection="0"/>
    <xf numFmtId="264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254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4" fontId="128" fillId="0" borderId="0" applyFont="0" applyFill="0" applyBorder="0" applyAlignment="0" applyProtection="0"/>
    <xf numFmtId="256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4" fontId="128" fillId="0" borderId="0" applyFont="0" applyFill="0" applyBorder="0" applyAlignment="0" applyProtection="0"/>
    <xf numFmtId="257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8" fontId="128" fillId="0" borderId="0" applyFont="0" applyFill="0" applyBorder="0" applyAlignment="0" applyProtection="0"/>
    <xf numFmtId="258" fontId="128" fillId="0" borderId="0" applyFont="0" applyFill="0" applyBorder="0" applyAlignment="0" applyProtection="0"/>
    <xf numFmtId="254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7" fontId="128" fillId="0" borderId="0" applyFont="0" applyFill="0" applyBorder="0" applyAlignment="0" applyProtection="0"/>
    <xf numFmtId="257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9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174" fontId="28" fillId="0" borderId="0" applyFont="0" applyFill="0" applyBorder="0" applyAlignment="0" applyProtection="0"/>
    <xf numFmtId="255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168" fontId="129" fillId="0" borderId="0" applyFont="0" applyFill="0" applyBorder="0" applyAlignment="0" applyProtection="0"/>
    <xf numFmtId="260" fontId="128" fillId="0" borderId="0" applyFont="0" applyFill="0" applyBorder="0" applyAlignment="0" applyProtection="0"/>
    <xf numFmtId="260" fontId="128" fillId="0" borderId="0" applyFont="0" applyFill="0" applyBorder="0" applyAlignment="0" applyProtection="0"/>
    <xf numFmtId="243" fontId="5" fillId="0" borderId="0" applyFont="0" applyFill="0" applyBorder="0" applyAlignment="0" applyProtection="0"/>
    <xf numFmtId="170" fontId="129" fillId="0" borderId="0" applyFont="0" applyFill="0" applyBorder="0" applyAlignment="0" applyProtection="0"/>
    <xf numFmtId="260" fontId="128" fillId="0" borderId="0" applyFont="0" applyFill="0" applyBorder="0" applyAlignment="0" applyProtection="0"/>
    <xf numFmtId="168" fontId="129" fillId="0" borderId="0" applyFont="0" applyFill="0" applyBorder="0" applyAlignment="0" applyProtection="0"/>
    <xf numFmtId="203" fontId="42" fillId="0" borderId="0" applyFont="0" applyFill="0" applyBorder="0" applyAlignment="0" applyProtection="0"/>
    <xf numFmtId="259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170" fontId="128" fillId="0" borderId="0" applyFont="0" applyFill="0" applyBorder="0" applyAlignment="0" applyProtection="0"/>
    <xf numFmtId="170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168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9" fontId="129" fillId="0" borderId="0" applyFont="0" applyFill="0" applyBorder="0" applyAlignment="0" applyProtection="0"/>
    <xf numFmtId="251" fontId="28" fillId="0" borderId="0" applyFont="0" applyFill="0" applyBorder="0" applyAlignment="0" applyProtection="0"/>
    <xf numFmtId="251" fontId="28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129" fillId="0" borderId="0" applyFont="0" applyFill="0" applyBorder="0" applyAlignment="0" applyProtection="0"/>
    <xf numFmtId="251" fontId="28" fillId="0" borderId="0" applyFont="0" applyFill="0" applyBorder="0" applyAlignment="0" applyProtection="0"/>
    <xf numFmtId="169" fontId="129" fillId="0" borderId="0" applyFont="0" applyFill="0" applyBorder="0" applyAlignment="0" applyProtection="0"/>
    <xf numFmtId="192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252" fontId="28" fillId="0" borderId="0" applyFont="0" applyFill="0" applyBorder="0" applyAlignment="0" applyProtection="0"/>
    <xf numFmtId="252" fontId="28" fillId="0" borderId="0" applyFont="0" applyFill="0" applyBorder="0" applyAlignment="0" applyProtection="0"/>
    <xf numFmtId="0" fontId="44" fillId="0" borderId="0"/>
    <xf numFmtId="42" fontId="128" fillId="0" borderId="0" applyFont="0" applyFill="0" applyBorder="0" applyAlignment="0" applyProtection="0"/>
    <xf numFmtId="42" fontId="128" fillId="0" borderId="0" applyFont="0" applyFill="0" applyBorder="0" applyAlignment="0" applyProtection="0"/>
    <xf numFmtId="248" fontId="128" fillId="0" borderId="0" applyFont="0" applyFill="0" applyBorder="0" applyAlignment="0" applyProtection="0"/>
    <xf numFmtId="167" fontId="1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45" fontId="128" fillId="0" borderId="0" applyFont="0" applyFill="0" applyBorder="0" applyAlignment="0" applyProtection="0"/>
    <xf numFmtId="201" fontId="28" fillId="0" borderId="0" applyFont="0" applyFill="0" applyBorder="0" applyAlignment="0" applyProtection="0"/>
    <xf numFmtId="165" fontId="129" fillId="0" borderId="0" applyFont="0" applyFill="0" applyBorder="0" applyAlignment="0" applyProtection="0"/>
    <xf numFmtId="261" fontId="128" fillId="0" borderId="0" applyFont="0" applyFill="0" applyBorder="0" applyAlignment="0" applyProtection="0"/>
    <xf numFmtId="261" fontId="128" fillId="0" borderId="0" applyFont="0" applyFill="0" applyBorder="0" applyAlignment="0" applyProtection="0"/>
    <xf numFmtId="166" fontId="129" fillId="0" borderId="0" applyFont="0" applyFill="0" applyBorder="0" applyAlignment="0" applyProtection="0"/>
    <xf numFmtId="261" fontId="128" fillId="0" borderId="0" applyFont="0" applyFill="0" applyBorder="0" applyAlignment="0" applyProtection="0"/>
    <xf numFmtId="165" fontId="129" fillId="0" borderId="0" applyFont="0" applyFill="0" applyBorder="0" applyAlignment="0" applyProtection="0"/>
    <xf numFmtId="261" fontId="128" fillId="0" borderId="0" applyFont="0" applyFill="0" applyBorder="0" applyAlignment="0" applyProtection="0"/>
    <xf numFmtId="201" fontId="128" fillId="0" borderId="0" applyFont="0" applyFill="0" applyBorder="0" applyAlignment="0" applyProtection="0"/>
    <xf numFmtId="201" fontId="128" fillId="0" borderId="0" applyFont="0" applyFill="0" applyBorder="0" applyAlignment="0" applyProtection="0"/>
    <xf numFmtId="42" fontId="128" fillId="0" borderId="0" applyFont="0" applyFill="0" applyBorder="0" applyAlignment="0" applyProtection="0"/>
    <xf numFmtId="42" fontId="128" fillId="0" borderId="0" applyFont="0" applyFill="0" applyBorder="0" applyAlignment="0" applyProtection="0"/>
    <xf numFmtId="0" fontId="44" fillId="0" borderId="0"/>
    <xf numFmtId="166" fontId="129" fillId="0" borderId="0" applyFont="0" applyFill="0" applyBorder="0" applyAlignment="0" applyProtection="0"/>
    <xf numFmtId="262" fontId="128" fillId="0" borderId="0" applyFont="0" applyFill="0" applyBorder="0" applyAlignment="0" applyProtection="0"/>
    <xf numFmtId="262" fontId="128" fillId="0" borderId="0" applyFont="0" applyFill="0" applyBorder="0" applyAlignment="0" applyProtection="0"/>
    <xf numFmtId="241" fontId="5" fillId="0" borderId="0" applyFont="0" applyFill="0" applyBorder="0" applyAlignment="0" applyProtection="0"/>
    <xf numFmtId="168" fontId="129" fillId="0" borderId="0" applyFont="0" applyFill="0" applyBorder="0" applyAlignment="0" applyProtection="0"/>
    <xf numFmtId="262" fontId="128" fillId="0" borderId="0" applyFont="0" applyFill="0" applyBorder="0" applyAlignment="0" applyProtection="0"/>
    <xf numFmtId="166" fontId="129" fillId="0" borderId="0" applyFont="0" applyFill="0" applyBorder="0" applyAlignment="0" applyProtection="0"/>
    <xf numFmtId="178" fontId="42" fillId="0" borderId="0" applyFont="0" applyFill="0" applyBorder="0" applyAlignment="0" applyProtection="0"/>
    <xf numFmtId="263" fontId="128" fillId="0" borderId="0" applyFont="0" applyFill="0" applyBorder="0" applyAlignment="0" applyProtection="0"/>
    <xf numFmtId="42" fontId="128" fillId="0" borderId="0" applyFont="0" applyFill="0" applyBorder="0" applyAlignment="0" applyProtection="0"/>
    <xf numFmtId="42" fontId="128" fillId="0" borderId="0" applyFont="0" applyFill="0" applyBorder="0" applyAlignment="0" applyProtection="0"/>
    <xf numFmtId="168" fontId="28" fillId="0" borderId="0" applyFont="0" applyFill="0" applyBorder="0" applyAlignment="0" applyProtection="0"/>
    <xf numFmtId="208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09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09" fontId="128" fillId="0" borderId="0" applyFont="0" applyFill="0" applyBorder="0" applyAlignment="0" applyProtection="0"/>
    <xf numFmtId="265" fontId="128" fillId="0" borderId="0" applyFont="0" applyFill="0" applyBorder="0" applyAlignment="0" applyProtection="0"/>
    <xf numFmtId="208" fontId="28" fillId="0" borderId="0" applyFont="0" applyFill="0" applyBorder="0" applyAlignment="0" applyProtection="0"/>
    <xf numFmtId="171" fontId="128" fillId="0" borderId="0" applyFont="0" applyFill="0" applyBorder="0" applyAlignment="0" applyProtection="0"/>
    <xf numFmtId="208" fontId="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09" fontId="128" fillId="0" borderId="0" applyFont="0" applyFill="0" applyBorder="0" applyAlignment="0" applyProtection="0"/>
    <xf numFmtId="266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7" fontId="128" fillId="0" borderId="0" applyFont="0" applyFill="0" applyBorder="0" applyAlignment="0" applyProtection="0"/>
    <xf numFmtId="268" fontId="128" fillId="0" borderId="0" applyFont="0" applyFill="0" applyBorder="0" applyAlignment="0" applyProtection="0"/>
    <xf numFmtId="267" fontId="128" fillId="0" borderId="0" applyFont="0" applyFill="0" applyBorder="0" applyAlignment="0" applyProtection="0"/>
    <xf numFmtId="209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6" fontId="128" fillId="0" borderId="0" applyFont="0" applyFill="0" applyBorder="0" applyAlignment="0" applyProtection="0"/>
    <xf numFmtId="266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9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173" fontId="28" fillId="0" borderId="0" applyFont="0" applyFill="0" applyBorder="0" applyAlignment="0" applyProtection="0"/>
    <xf numFmtId="264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167" fontId="129" fillId="0" borderId="0" applyFont="0" applyFill="0" applyBorder="0" applyAlignment="0" applyProtection="0"/>
    <xf numFmtId="270" fontId="128" fillId="0" borderId="0" applyFont="0" applyFill="0" applyBorder="0" applyAlignment="0" applyProtection="0"/>
    <xf numFmtId="270" fontId="128" fillId="0" borderId="0" applyFont="0" applyFill="0" applyBorder="0" applyAlignment="0" applyProtection="0"/>
    <xf numFmtId="242" fontId="5" fillId="0" borderId="0" applyFont="0" applyFill="0" applyBorder="0" applyAlignment="0" applyProtection="0"/>
    <xf numFmtId="169" fontId="129" fillId="0" borderId="0" applyFont="0" applyFill="0" applyBorder="0" applyAlignment="0" applyProtection="0"/>
    <xf numFmtId="270" fontId="128" fillId="0" borderId="0" applyFont="0" applyFill="0" applyBorder="0" applyAlignment="0" applyProtection="0"/>
    <xf numFmtId="167" fontId="129" fillId="0" borderId="0" applyFont="0" applyFill="0" applyBorder="0" applyAlignment="0" applyProtection="0"/>
    <xf numFmtId="271" fontId="42" fillId="0" borderId="0" applyFont="0" applyFill="0" applyBorder="0" applyAlignment="0" applyProtection="0"/>
    <xf numFmtId="264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254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4" fontId="128" fillId="0" borderId="0" applyFont="0" applyFill="0" applyBorder="0" applyAlignment="0" applyProtection="0"/>
    <xf numFmtId="256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4" fontId="128" fillId="0" borderId="0" applyFont="0" applyFill="0" applyBorder="0" applyAlignment="0" applyProtection="0"/>
    <xf numFmtId="257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8" fontId="128" fillId="0" borderId="0" applyFont="0" applyFill="0" applyBorder="0" applyAlignment="0" applyProtection="0"/>
    <xf numFmtId="258" fontId="128" fillId="0" borderId="0" applyFont="0" applyFill="0" applyBorder="0" applyAlignment="0" applyProtection="0"/>
    <xf numFmtId="254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7" fontId="128" fillId="0" borderId="0" applyFont="0" applyFill="0" applyBorder="0" applyAlignment="0" applyProtection="0"/>
    <xf numFmtId="257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9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174" fontId="28" fillId="0" borderId="0" applyFont="0" applyFill="0" applyBorder="0" applyAlignment="0" applyProtection="0"/>
    <xf numFmtId="255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3" fontId="128" fillId="0" borderId="0" applyFont="0" applyFill="0" applyBorder="0" applyAlignment="0" applyProtection="0"/>
    <xf numFmtId="168" fontId="129" fillId="0" borderId="0" applyFont="0" applyFill="0" applyBorder="0" applyAlignment="0" applyProtection="0"/>
    <xf numFmtId="260" fontId="128" fillId="0" borderId="0" applyFont="0" applyFill="0" applyBorder="0" applyAlignment="0" applyProtection="0"/>
    <xf numFmtId="260" fontId="128" fillId="0" borderId="0" applyFont="0" applyFill="0" applyBorder="0" applyAlignment="0" applyProtection="0"/>
    <xf numFmtId="243" fontId="5" fillId="0" borderId="0" applyFont="0" applyFill="0" applyBorder="0" applyAlignment="0" applyProtection="0"/>
    <xf numFmtId="170" fontId="129" fillId="0" borderId="0" applyFont="0" applyFill="0" applyBorder="0" applyAlignment="0" applyProtection="0"/>
    <xf numFmtId="260" fontId="128" fillId="0" borderId="0" applyFont="0" applyFill="0" applyBorder="0" applyAlignment="0" applyProtection="0"/>
    <xf numFmtId="168" fontId="129" fillId="0" borderId="0" applyFont="0" applyFill="0" applyBorder="0" applyAlignment="0" applyProtection="0"/>
    <xf numFmtId="203" fontId="42" fillId="0" borderId="0" applyFont="0" applyFill="0" applyBorder="0" applyAlignment="0" applyProtection="0"/>
    <xf numFmtId="259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170" fontId="128" fillId="0" borderId="0" applyFont="0" applyFill="0" applyBorder="0" applyAlignment="0" applyProtection="0"/>
    <xf numFmtId="170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172" fontId="128" fillId="0" borderId="0" applyFont="0" applyFill="0" applyBorder="0" applyAlignment="0" applyProtection="0"/>
    <xf numFmtId="255" fontId="128" fillId="0" borderId="0" applyFont="0" applyFill="0" applyBorder="0" applyAlignment="0" applyProtection="0"/>
    <xf numFmtId="175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9" fontId="129" fillId="0" borderId="0" applyFont="0" applyFill="0" applyBorder="0" applyAlignment="0" applyProtection="0"/>
    <xf numFmtId="251" fontId="28" fillId="0" borderId="0" applyFont="0" applyFill="0" applyBorder="0" applyAlignment="0" applyProtection="0"/>
    <xf numFmtId="251" fontId="28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129" fillId="0" borderId="0" applyFont="0" applyFill="0" applyBorder="0" applyAlignment="0" applyProtection="0"/>
    <xf numFmtId="251" fontId="28" fillId="0" borderId="0" applyFont="0" applyFill="0" applyBorder="0" applyAlignment="0" applyProtection="0"/>
    <xf numFmtId="169" fontId="129" fillId="0" borderId="0" applyFont="0" applyFill="0" applyBorder="0" applyAlignment="0" applyProtection="0"/>
    <xf numFmtId="192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252" fontId="28" fillId="0" borderId="0" applyFont="0" applyFill="0" applyBorder="0" applyAlignment="0" applyProtection="0"/>
    <xf numFmtId="252" fontId="2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128" fillId="0" borderId="0" applyFont="0" applyFill="0" applyBorder="0" applyAlignment="0" applyProtection="0"/>
    <xf numFmtId="42" fontId="128" fillId="0" borderId="0" applyFont="0" applyFill="0" applyBorder="0" applyAlignment="0" applyProtection="0"/>
    <xf numFmtId="0" fontId="44" fillId="0" borderId="0"/>
    <xf numFmtId="42" fontId="12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128" fillId="0" borderId="0" applyFont="0" applyFill="0" applyBorder="0" applyAlignment="0" applyProtection="0"/>
    <xf numFmtId="0" fontId="91" fillId="0" borderId="0">
      <alignment vertical="top"/>
    </xf>
    <xf numFmtId="0" fontId="91" fillId="0" borderId="0">
      <alignment vertical="top"/>
    </xf>
    <xf numFmtId="0" fontId="91" fillId="0" borderId="0">
      <alignment vertical="top"/>
    </xf>
    <xf numFmtId="0" fontId="21" fillId="0" borderId="0" applyNumberFormat="0" applyFill="0" applyBorder="0" applyAlignment="0" applyProtection="0"/>
    <xf numFmtId="0" fontId="44" fillId="0" borderId="0"/>
    <xf numFmtId="0" fontId="97" fillId="0" borderId="0"/>
    <xf numFmtId="0" fontId="97" fillId="0" borderId="0"/>
    <xf numFmtId="175" fontId="128" fillId="0" borderId="0" applyFont="0" applyFill="0" applyBorder="0" applyAlignment="0" applyProtection="0"/>
    <xf numFmtId="272" fontId="130" fillId="0" borderId="0" applyFont="0" applyFill="0" applyBorder="0" applyAlignment="0" applyProtection="0"/>
    <xf numFmtId="181" fontId="131" fillId="0" borderId="0" applyFont="0" applyFill="0" applyBorder="0" applyAlignment="0" applyProtection="0"/>
    <xf numFmtId="180" fontId="131" fillId="0" borderId="0" applyFont="0" applyFill="0" applyBorder="0" applyAlignment="0" applyProtection="0"/>
    <xf numFmtId="0" fontId="132" fillId="0" borderId="0"/>
    <xf numFmtId="0" fontId="133" fillId="0" borderId="0"/>
    <xf numFmtId="0" fontId="133" fillId="0" borderId="0"/>
    <xf numFmtId="0" fontId="48" fillId="0" borderId="0"/>
    <xf numFmtId="1" fontId="134" fillId="0" borderId="4" applyBorder="0" applyAlignment="0">
      <alignment horizontal="center"/>
    </xf>
    <xf numFmtId="3" fontId="123" fillId="0" borderId="4"/>
    <xf numFmtId="3" fontId="123" fillId="0" borderId="4"/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3" fillId="7" borderId="0"/>
    <xf numFmtId="0" fontId="14" fillId="2" borderId="0"/>
    <xf numFmtId="0" fontId="23" fillId="2" borderId="0"/>
    <xf numFmtId="0" fontId="78" fillId="0" borderId="22" applyAlignment="0"/>
    <xf numFmtId="0" fontId="78" fillId="0" borderId="22" applyAlignment="0"/>
    <xf numFmtId="0" fontId="78" fillId="0" borderId="22" applyAlignment="0"/>
    <xf numFmtId="0" fontId="22" fillId="0" borderId="1" applyFont="0" applyAlignment="0">
      <alignment horizontal="left"/>
    </xf>
    <xf numFmtId="0" fontId="67" fillId="0" borderId="22" applyAlignment="0"/>
    <xf numFmtId="0" fontId="67" fillId="0" borderId="22" applyAlignment="0"/>
    <xf numFmtId="0" fontId="78" fillId="0" borderId="22" applyAlignment="0"/>
    <xf numFmtId="0" fontId="22" fillId="0" borderId="1" applyFont="0" applyAlignment="0">
      <alignment horizontal="left"/>
    </xf>
    <xf numFmtId="0" fontId="67" fillId="0" borderId="22" applyAlignment="0"/>
    <xf numFmtId="0" fontId="78" fillId="0" borderId="22" applyAlignment="0"/>
    <xf numFmtId="0" fontId="78" fillId="0" borderId="22" applyAlignment="0"/>
    <xf numFmtId="0" fontId="78" fillId="0" borderId="22" applyAlignment="0"/>
    <xf numFmtId="0" fontId="23" fillId="7" borderId="0"/>
    <xf numFmtId="0" fontId="23" fillId="2" borderId="0"/>
    <xf numFmtId="0" fontId="22" fillId="0" borderId="1" applyFont="0" applyAlignment="0">
      <alignment horizontal="left"/>
    </xf>
    <xf numFmtId="0" fontId="23" fillId="2" borderId="0"/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78" fillId="0" borderId="22" applyAlignment="0"/>
    <xf numFmtId="0" fontId="78" fillId="0" borderId="22" applyAlignment="0"/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78" fillId="0" borderId="22" applyAlignment="0"/>
    <xf numFmtId="0" fontId="78" fillId="0" borderId="22" applyAlignment="0"/>
    <xf numFmtId="0" fontId="67" fillId="0" borderId="22" applyAlignment="0"/>
    <xf numFmtId="0" fontId="78" fillId="0" borderId="22" applyAlignment="0"/>
    <xf numFmtId="0" fontId="67" fillId="0" borderId="22" applyAlignment="0"/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78" fillId="0" borderId="22" applyAlignment="0"/>
    <xf numFmtId="0" fontId="78" fillId="0" borderId="22" applyAlignment="0"/>
    <xf numFmtId="0" fontId="22" fillId="0" borderId="1" applyFont="0" applyAlignment="0">
      <alignment horizontal="left"/>
    </xf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78" fillId="0" borderId="22" applyAlignment="0"/>
    <xf numFmtId="0" fontId="78" fillId="0" borderId="22" applyAlignment="0"/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67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67" fillId="0" borderId="22" applyAlignment="0"/>
    <xf numFmtId="0" fontId="78" fillId="0" borderId="22" applyAlignment="0"/>
    <xf numFmtId="0" fontId="78" fillId="0" borderId="22" applyAlignment="0"/>
    <xf numFmtId="0" fontId="22" fillId="0" borderId="1" applyFont="0" applyAlignment="0">
      <alignment horizontal="left"/>
    </xf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78" fillId="0" borderId="22" applyAlignment="0"/>
    <xf numFmtId="0" fontId="23" fillId="2" borderId="0"/>
    <xf numFmtId="0" fontId="23" fillId="2" borderId="0"/>
    <xf numFmtId="0" fontId="23" fillId="2" borderId="0"/>
    <xf numFmtId="0" fontId="23" fillId="7" borderId="0"/>
    <xf numFmtId="0" fontId="3" fillId="0" borderId="4" applyFont="0" applyFill="0" applyAlignment="0"/>
    <xf numFmtId="0" fontId="78" fillId="0" borderId="22" applyAlignment="0"/>
    <xf numFmtId="0" fontId="3" fillId="0" borderId="4" applyFont="0" applyFill="0" applyAlignment="0"/>
    <xf numFmtId="0" fontId="22" fillId="0" borderId="1" applyFont="0" applyAlignment="0">
      <alignment horizontal="left"/>
    </xf>
    <xf numFmtId="0" fontId="67" fillId="0" borderId="22" applyAlignment="0"/>
    <xf numFmtId="0" fontId="78" fillId="0" borderId="22" applyAlignment="0"/>
    <xf numFmtId="0" fontId="14" fillId="2" borderId="0"/>
    <xf numFmtId="0" fontId="67" fillId="0" borderId="22" applyAlignment="0"/>
    <xf numFmtId="272" fontId="130" fillId="0" borderId="0" applyFont="0" applyFill="0" applyBorder="0" applyAlignment="0" applyProtection="0"/>
    <xf numFmtId="0" fontId="78" fillId="0" borderId="23" applyFill="0" applyAlignment="0"/>
    <xf numFmtId="0" fontId="3" fillId="0" borderId="4" applyFont="0" applyFill="0" applyAlignment="0"/>
    <xf numFmtId="0" fontId="3" fillId="0" borderId="4" applyFont="0" applyFill="0" applyAlignment="0"/>
    <xf numFmtId="0" fontId="3" fillId="0" borderId="4" applyFont="0" applyFill="0" applyAlignment="0"/>
    <xf numFmtId="0" fontId="23" fillId="7" borderId="0"/>
    <xf numFmtId="0" fontId="23" fillId="2" borderId="0"/>
    <xf numFmtId="0" fontId="78" fillId="0" borderId="23" applyFill="0" applyAlignment="0"/>
    <xf numFmtId="0" fontId="67" fillId="0" borderId="23" applyFill="0" applyAlignment="0"/>
    <xf numFmtId="0" fontId="3" fillId="0" borderId="4" applyFont="0" applyFill="0" applyAlignment="0"/>
    <xf numFmtId="0" fontId="67" fillId="0" borderId="23" applyFill="0" applyAlignment="0"/>
    <xf numFmtId="0" fontId="78" fillId="0" borderId="23" applyFill="0" applyAlignment="0"/>
    <xf numFmtId="0" fontId="5" fillId="0" borderId="23" applyFill="0" applyAlignment="0"/>
    <xf numFmtId="0" fontId="5" fillId="0" borderId="23" applyFill="0" applyAlignment="0"/>
    <xf numFmtId="0" fontId="5" fillId="0" borderId="23" applyFill="0" applyAlignment="0"/>
    <xf numFmtId="0" fontId="5" fillId="0" borderId="23" applyFill="0" applyAlignment="0"/>
    <xf numFmtId="0" fontId="5" fillId="0" borderId="23" applyFill="0" applyAlignment="0"/>
    <xf numFmtId="0" fontId="5" fillId="0" borderId="23" applyFill="0" applyAlignment="0"/>
    <xf numFmtId="0" fontId="5" fillId="0" borderId="23" applyFill="0" applyAlignment="0"/>
    <xf numFmtId="0" fontId="5" fillId="0" borderId="23" applyFill="0" applyAlignment="0"/>
    <xf numFmtId="0" fontId="5" fillId="0" borderId="23" applyFill="0" applyAlignment="0"/>
    <xf numFmtId="0" fontId="3" fillId="0" borderId="4" applyFont="0" applyFill="0" applyAlignment="0"/>
    <xf numFmtId="0" fontId="3" fillId="0" borderId="4" applyFont="0" applyFill="0" applyAlignment="0"/>
    <xf numFmtId="0" fontId="3" fillId="0" borderId="4" applyFont="0" applyFill="0" applyAlignment="0"/>
    <xf numFmtId="0" fontId="3" fillId="0" borderId="4" applyFont="0" applyFill="0" applyAlignment="0"/>
    <xf numFmtId="0" fontId="3" fillId="0" borderId="4" applyFont="0" applyFill="0" applyAlignment="0"/>
    <xf numFmtId="0" fontId="67" fillId="0" borderId="23" applyFill="0" applyAlignment="0"/>
    <xf numFmtId="0" fontId="23" fillId="2" borderId="0"/>
    <xf numFmtId="0" fontId="78" fillId="0" borderId="23" applyFill="0" applyAlignment="0"/>
    <xf numFmtId="0" fontId="78" fillId="0" borderId="23" applyFill="0" applyAlignment="0"/>
    <xf numFmtId="0" fontId="3" fillId="0" borderId="4" applyFont="0" applyFill="0" applyAlignment="0"/>
    <xf numFmtId="0" fontId="5" fillId="0" borderId="23" applyFill="0" applyAlignment="0"/>
    <xf numFmtId="0" fontId="5" fillId="0" borderId="23" applyFill="0" applyAlignment="0"/>
    <xf numFmtId="0" fontId="5" fillId="0" borderId="23" applyFill="0" applyAlignment="0"/>
    <xf numFmtId="0" fontId="5" fillId="0" borderId="23" applyFill="0" applyAlignment="0"/>
    <xf numFmtId="0" fontId="5" fillId="0" borderId="23" applyFill="0" applyAlignment="0"/>
    <xf numFmtId="0" fontId="5" fillId="0" borderId="23" applyFill="0" applyAlignment="0"/>
    <xf numFmtId="0" fontId="5" fillId="0" borderId="23" applyFill="0" applyAlignment="0"/>
    <xf numFmtId="0" fontId="5" fillId="0" borderId="23" applyFill="0" applyAlignment="0"/>
    <xf numFmtId="0" fontId="5" fillId="0" borderId="23" applyFill="0" applyAlignment="0"/>
    <xf numFmtId="0" fontId="78" fillId="0" borderId="23" applyFill="0" applyAlignment="0"/>
    <xf numFmtId="0" fontId="23" fillId="2" borderId="0"/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78" fillId="0" borderId="22" applyAlignment="0"/>
    <xf numFmtId="0" fontId="78" fillId="0" borderId="22" applyAlignment="0"/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67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67" fillId="0" borderId="22" applyAlignment="0"/>
    <xf numFmtId="0" fontId="78" fillId="0" borderId="22" applyAlignment="0"/>
    <xf numFmtId="0" fontId="78" fillId="0" borderId="22" applyAlignment="0"/>
    <xf numFmtId="0" fontId="22" fillId="0" borderId="1" applyFont="0" applyAlignment="0">
      <alignment horizontal="left"/>
    </xf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78" fillId="0" borderId="22" applyAlignment="0"/>
    <xf numFmtId="0" fontId="14" fillId="2" borderId="0"/>
    <xf numFmtId="0" fontId="23" fillId="7" borderId="0"/>
    <xf numFmtId="272" fontId="130" fillId="0" borderId="0" applyFont="0" applyFill="0" applyBorder="0" applyAlignment="0" applyProtection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78" fillId="0" borderId="22" applyAlignment="0"/>
    <xf numFmtId="0" fontId="78" fillId="0" borderId="22" applyAlignment="0"/>
    <xf numFmtId="0" fontId="22" fillId="0" borderId="1" applyFont="0" applyAlignment="0">
      <alignment horizontal="left"/>
    </xf>
    <xf numFmtId="0" fontId="67" fillId="0" borderId="22" applyAlignment="0"/>
    <xf numFmtId="0" fontId="67" fillId="0" borderId="22" applyAlignment="0"/>
    <xf numFmtId="0" fontId="78" fillId="0" borderId="22" applyAlignment="0"/>
    <xf numFmtId="0" fontId="22" fillId="0" borderId="1" applyFont="0" applyAlignment="0">
      <alignment horizontal="left"/>
    </xf>
    <xf numFmtId="0" fontId="67" fillId="0" borderId="22" applyAlignment="0"/>
    <xf numFmtId="0" fontId="78" fillId="0" borderId="22" applyAlignment="0"/>
    <xf numFmtId="0" fontId="78" fillId="0" borderId="22" applyAlignment="0"/>
    <xf numFmtId="0" fontId="78" fillId="0" borderId="22" applyAlignment="0"/>
    <xf numFmtId="0" fontId="67" fillId="0" borderId="22" applyAlignment="0"/>
    <xf numFmtId="0" fontId="78" fillId="0" borderId="22" applyAlignment="0"/>
    <xf numFmtId="0" fontId="22" fillId="0" borderId="1" applyFont="0" applyAlignment="0">
      <alignment horizontal="left"/>
    </xf>
    <xf numFmtId="0" fontId="67" fillId="0" borderId="22" applyAlignment="0"/>
    <xf numFmtId="0" fontId="78" fillId="0" borderId="22" applyAlignment="0"/>
    <xf numFmtId="272" fontId="130" fillId="0" borderId="0" applyFont="0" applyFill="0" applyBorder="0" applyAlignment="0" applyProtection="0"/>
    <xf numFmtId="272" fontId="130" fillId="0" borderId="0" applyFont="0" applyFill="0" applyBorder="0" applyAlignment="0" applyProtection="0"/>
    <xf numFmtId="0" fontId="2" fillId="2" borderId="0"/>
    <xf numFmtId="0" fontId="14" fillId="2" borderId="0"/>
    <xf numFmtId="0" fontId="23" fillId="2" borderId="0"/>
    <xf numFmtId="0" fontId="23" fillId="2" borderId="0"/>
    <xf numFmtId="0" fontId="22" fillId="0" borderId="1" applyFont="0" applyAlignment="0">
      <alignment horizontal="left"/>
    </xf>
    <xf numFmtId="0" fontId="14" fillId="2" borderId="0"/>
    <xf numFmtId="0" fontId="22" fillId="0" borderId="1" applyFont="0" applyAlignment="0">
      <alignment horizontal="left"/>
    </xf>
    <xf numFmtId="0" fontId="78" fillId="0" borderId="22" applyAlignment="0"/>
    <xf numFmtId="0" fontId="78" fillId="0" borderId="22" applyAlignment="0"/>
    <xf numFmtId="0" fontId="22" fillId="0" borderId="1" applyFont="0" applyAlignment="0">
      <alignment horizontal="left"/>
    </xf>
    <xf numFmtId="0" fontId="23" fillId="2" borderId="0"/>
    <xf numFmtId="0" fontId="14" fillId="2" borderId="0"/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78" fillId="0" borderId="22" applyAlignment="0"/>
    <xf numFmtId="0" fontId="78" fillId="0" borderId="22" applyAlignment="0"/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67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67" fillId="0" borderId="22" applyAlignment="0"/>
    <xf numFmtId="0" fontId="78" fillId="0" borderId="22" applyAlignment="0"/>
    <xf numFmtId="0" fontId="78" fillId="0" borderId="22" applyAlignment="0"/>
    <xf numFmtId="0" fontId="22" fillId="0" borderId="1" applyFont="0" applyAlignment="0">
      <alignment horizontal="left"/>
    </xf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78" fillId="0" borderId="22" applyAlignment="0"/>
    <xf numFmtId="0" fontId="135" fillId="0" borderId="0" applyFont="0" applyFill="0" applyBorder="0" applyAlignment="0">
      <alignment horizontal="left"/>
    </xf>
    <xf numFmtId="0" fontId="23" fillId="2" borderId="0"/>
    <xf numFmtId="0" fontId="23" fillId="2" borderId="0"/>
    <xf numFmtId="0" fontId="2" fillId="0" borderId="4" applyAlignment="0"/>
    <xf numFmtId="0" fontId="2" fillId="0" borderId="4" applyAlignment="0"/>
    <xf numFmtId="0" fontId="2" fillId="0" borderId="23" applyAlignment="0"/>
    <xf numFmtId="0" fontId="2" fillId="0" borderId="4" applyAlignment="0"/>
    <xf numFmtId="0" fontId="2" fillId="0" borderId="4" applyAlignment="0"/>
    <xf numFmtId="0" fontId="2" fillId="0" borderId="4" applyAlignment="0"/>
    <xf numFmtId="0" fontId="2" fillId="0" borderId="23" applyAlignment="0"/>
    <xf numFmtId="0" fontId="2" fillId="0" borderId="23" applyAlignment="0"/>
    <xf numFmtId="0" fontId="2" fillId="0" borderId="23" applyAlignment="0"/>
    <xf numFmtId="0" fontId="2" fillId="0" borderId="23" applyAlignment="0"/>
    <xf numFmtId="0" fontId="2" fillId="0" borderId="23" applyAlignment="0"/>
    <xf numFmtId="0" fontId="2" fillId="0" borderId="23" applyAlignment="0"/>
    <xf numFmtId="0" fontId="2" fillId="0" borderId="23" applyAlignment="0"/>
    <xf numFmtId="0" fontId="2" fillId="0" borderId="23" applyAlignment="0"/>
    <xf numFmtId="0" fontId="2" fillId="0" borderId="23" applyAlignment="0"/>
    <xf numFmtId="0" fontId="2" fillId="0" borderId="4" applyAlignment="0"/>
    <xf numFmtId="0" fontId="2" fillId="0" borderId="4" applyAlignment="0"/>
    <xf numFmtId="0" fontId="2" fillId="0" borderId="4" applyAlignment="0"/>
    <xf numFmtId="0" fontId="2" fillId="0" borderId="4" applyAlignment="0"/>
    <xf numFmtId="0" fontId="2" fillId="0" borderId="4" applyAlignment="0"/>
    <xf numFmtId="0" fontId="2" fillId="0" borderId="23" applyAlignment="0"/>
    <xf numFmtId="0" fontId="2" fillId="0" borderId="23" applyAlignment="0"/>
    <xf numFmtId="0" fontId="2" fillId="0" borderId="4" applyAlignment="0"/>
    <xf numFmtId="0" fontId="2" fillId="0" borderId="23" applyAlignment="0"/>
    <xf numFmtId="0" fontId="2" fillId="0" borderId="23" applyAlignment="0"/>
    <xf numFmtId="0" fontId="2" fillId="0" borderId="23" applyAlignment="0"/>
    <xf numFmtId="0" fontId="2" fillId="0" borderId="23" applyAlignment="0"/>
    <xf numFmtId="0" fontId="2" fillId="0" borderId="23" applyAlignment="0"/>
    <xf numFmtId="0" fontId="2" fillId="0" borderId="23" applyAlignment="0"/>
    <xf numFmtId="0" fontId="2" fillId="0" borderId="23" applyAlignment="0"/>
    <xf numFmtId="0" fontId="2" fillId="0" borderId="23" applyAlignment="0"/>
    <xf numFmtId="0" fontId="2" fillId="0" borderId="23" applyAlignment="0"/>
    <xf numFmtId="0" fontId="2" fillId="0" borderId="23" applyAlignment="0"/>
    <xf numFmtId="0" fontId="2" fillId="0" borderId="23" applyAlignment="0"/>
    <xf numFmtId="0" fontId="2" fillId="0" borderId="23" applyAlignment="0"/>
    <xf numFmtId="0" fontId="2" fillId="0" borderId="23" applyAlignment="0"/>
    <xf numFmtId="0" fontId="2" fillId="0" borderId="23" applyAlignment="0"/>
    <xf numFmtId="0" fontId="2" fillId="0" borderId="23" applyAlignment="0"/>
    <xf numFmtId="0" fontId="2" fillId="0" borderId="23" applyAlignment="0"/>
    <xf numFmtId="0" fontId="22" fillId="0" borderId="1" applyFont="0" applyAlignment="0">
      <alignment horizontal="left"/>
    </xf>
    <xf numFmtId="0" fontId="22" fillId="0" borderId="1" applyFont="0" applyAlignment="0">
      <alignment horizontal="left"/>
    </xf>
    <xf numFmtId="0" fontId="78" fillId="0" borderId="22" applyAlignment="0"/>
    <xf numFmtId="0" fontId="22" fillId="0" borderId="1" applyFont="0" applyAlignment="0">
      <alignment horizontal="left"/>
    </xf>
    <xf numFmtId="0" fontId="67" fillId="0" borderId="22" applyAlignment="0"/>
    <xf numFmtId="0" fontId="78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78" fillId="0" borderId="22" applyAlignment="0"/>
    <xf numFmtId="0" fontId="23" fillId="2" borderId="0"/>
    <xf numFmtId="0" fontId="78" fillId="0" borderId="22" applyAlignment="0"/>
    <xf numFmtId="0" fontId="22" fillId="0" borderId="1" applyFont="0" applyAlignment="0">
      <alignment horizontal="left"/>
    </xf>
    <xf numFmtId="0" fontId="67" fillId="0" borderId="22" applyAlignment="0"/>
    <xf numFmtId="0" fontId="78" fillId="0" borderId="22" applyAlignment="0"/>
    <xf numFmtId="0" fontId="14" fillId="2" borderId="0"/>
    <xf numFmtId="0" fontId="14" fillId="2" borderId="0"/>
    <xf numFmtId="0" fontId="23" fillId="2" borderId="0"/>
    <xf numFmtId="0" fontId="22" fillId="0" borderId="1" applyFont="0" applyAlignment="0">
      <alignment horizontal="left"/>
    </xf>
    <xf numFmtId="0" fontId="78" fillId="0" borderId="22" applyAlignment="0"/>
    <xf numFmtId="0" fontId="22" fillId="0" borderId="1" applyFont="0" applyAlignment="0">
      <alignment horizontal="left"/>
    </xf>
    <xf numFmtId="0" fontId="64" fillId="0" borderId="4" applyNumberFormat="0" applyFont="0" applyBorder="0">
      <alignment horizontal="left" indent="2"/>
    </xf>
    <xf numFmtId="0" fontId="67" fillId="0" borderId="22" applyAlignment="0"/>
    <xf numFmtId="0" fontId="135" fillId="0" borderId="0" applyFont="0" applyFill="0" applyBorder="0" applyAlignment="0">
      <alignment horizontal="left"/>
    </xf>
    <xf numFmtId="0" fontId="64" fillId="0" borderId="4" applyNumberFormat="0" applyFont="0" applyBorder="0">
      <alignment horizontal="left" indent="2"/>
    </xf>
    <xf numFmtId="0" fontId="78" fillId="0" borderId="22" applyAlignment="0"/>
    <xf numFmtId="0" fontId="23" fillId="2" borderId="0"/>
    <xf numFmtId="0" fontId="23" fillId="2" borderId="0"/>
    <xf numFmtId="0" fontId="80" fillId="0" borderId="0"/>
    <xf numFmtId="0" fontId="136" fillId="8" borderId="5" applyFont="0" applyFill="0" applyAlignment="0">
      <alignment vertical="center" wrapText="1"/>
    </xf>
    <xf numFmtId="9" fontId="137" fillId="0" borderId="0" applyBorder="0" applyAlignment="0" applyProtection="0"/>
    <xf numFmtId="0" fontId="2" fillId="0" borderId="1" applyNumberFormat="0" applyFill="0"/>
    <xf numFmtId="0" fontId="2" fillId="0" borderId="1" applyNumberFormat="0" applyFill="0"/>
    <xf numFmtId="0" fontId="14" fillId="2" borderId="0"/>
    <xf numFmtId="0" fontId="24" fillId="2" borderId="0"/>
    <xf numFmtId="0" fontId="2" fillId="0" borderId="1" applyNumberFormat="0" applyFill="0"/>
    <xf numFmtId="0" fontId="2" fillId="0" borderId="1" applyNumberFormat="0" applyFill="0"/>
    <xf numFmtId="0" fontId="2" fillId="0" borderId="1" applyNumberFormat="0" applyFill="0"/>
    <xf numFmtId="0" fontId="24" fillId="7" borderId="0"/>
    <xf numFmtId="0" fontId="24" fillId="2" borderId="0"/>
    <xf numFmtId="0" fontId="2" fillId="0" borderId="22" applyNumberFormat="0" applyFill="0"/>
    <xf numFmtId="0" fontId="14" fillId="2" borderId="0"/>
    <xf numFmtId="0" fontId="2" fillId="0" borderId="22" applyNumberFormat="0" applyFill="0"/>
    <xf numFmtId="0" fontId="2" fillId="0" borderId="1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4" fillId="2" borderId="0"/>
    <xf numFmtId="0" fontId="2" fillId="0" borderId="22" applyNumberFormat="0" applyFill="0"/>
    <xf numFmtId="0" fontId="14" fillId="2" borderId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1" applyNumberFormat="0" applyFill="0"/>
    <xf numFmtId="0" fontId="2" fillId="0" borderId="1" applyNumberFormat="0" applyFill="0"/>
    <xf numFmtId="0" fontId="2" fillId="0" borderId="1" applyNumberFormat="0" applyFill="0"/>
    <xf numFmtId="0" fontId="2" fillId="0" borderId="1" applyNumberFormat="0" applyFill="0"/>
    <xf numFmtId="0" fontId="2" fillId="0" borderId="1" applyNumberFormat="0" applyFill="0"/>
    <xf numFmtId="0" fontId="2" fillId="0" borderId="22" applyNumberFormat="0" applyFill="0"/>
    <xf numFmtId="0" fontId="2" fillId="2" borderId="0"/>
    <xf numFmtId="0" fontId="14" fillId="2" borderId="0"/>
    <xf numFmtId="0" fontId="14" fillId="2" borderId="0"/>
    <xf numFmtId="0" fontId="2" fillId="0" borderId="22" applyNumberFormat="0" applyFill="0"/>
    <xf numFmtId="0" fontId="24" fillId="2" borderId="0"/>
    <xf numFmtId="0" fontId="14" fillId="2" borderId="0"/>
    <xf numFmtId="0" fontId="2" fillId="0" borderId="1" applyNumberFormat="0" applyAlignment="0"/>
    <xf numFmtId="0" fontId="2" fillId="0" borderId="1" applyNumberFormat="0" applyAlignment="0"/>
    <xf numFmtId="0" fontId="2" fillId="0" borderId="22" applyNumberFormat="0" applyAlignment="0"/>
    <xf numFmtId="0" fontId="2" fillId="0" borderId="1" applyNumberFormat="0" applyAlignment="0"/>
    <xf numFmtId="0" fontId="2" fillId="0" borderId="1" applyNumberFormat="0" applyAlignment="0"/>
    <xf numFmtId="0" fontId="2" fillId="0" borderId="1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1" applyNumberFormat="0" applyAlignment="0"/>
    <xf numFmtId="0" fontId="2" fillId="0" borderId="1" applyNumberFormat="0" applyAlignment="0"/>
    <xf numFmtId="0" fontId="2" fillId="0" borderId="1" applyNumberFormat="0" applyAlignment="0"/>
    <xf numFmtId="0" fontId="2" fillId="0" borderId="1" applyNumberFormat="0" applyAlignment="0"/>
    <xf numFmtId="0" fontId="2" fillId="0" borderId="1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1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22" applyNumberFormat="0" applyAlignment="0"/>
    <xf numFmtId="0" fontId="2" fillId="0" borderId="1" applyNumberFormat="0" applyFill="0"/>
    <xf numFmtId="0" fontId="24" fillId="7" borderId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2" fillId="0" borderId="22" applyNumberFormat="0" applyFill="0"/>
    <xf numFmtId="0" fontId="14" fillId="2" borderId="0"/>
    <xf numFmtId="0" fontId="14" fillId="2" borderId="0"/>
    <xf numFmtId="0" fontId="24" fillId="2" borderId="0"/>
    <xf numFmtId="0" fontId="24" fillId="2" borderId="0"/>
    <xf numFmtId="0" fontId="24" fillId="2" borderId="0"/>
    <xf numFmtId="0" fontId="64" fillId="0" borderId="4" applyNumberFormat="0" applyFont="0" applyBorder="0" applyAlignment="0">
      <alignment horizontal="center"/>
    </xf>
    <xf numFmtId="0" fontId="64" fillId="0" borderId="4" applyNumberFormat="0" applyFont="0" applyBorder="0" applyAlignment="0">
      <alignment horizontal="center"/>
    </xf>
    <xf numFmtId="0" fontId="2" fillId="0" borderId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2" borderId="0" applyNumberFormat="0" applyBorder="0" applyAlignment="0" applyProtection="0"/>
    <xf numFmtId="0" fontId="67" fillId="10" borderId="0" applyNumberFormat="0" applyBorder="0" applyAlignment="0" applyProtection="0"/>
    <xf numFmtId="0" fontId="5" fillId="0" borderId="0"/>
    <xf numFmtId="0" fontId="25" fillId="7" borderId="0"/>
    <xf numFmtId="0" fontId="14" fillId="2" borderId="0"/>
    <xf numFmtId="0" fontId="25" fillId="2" borderId="0"/>
    <xf numFmtId="0" fontId="25" fillId="2" borderId="0"/>
    <xf numFmtId="0" fontId="25" fillId="7" borderId="0"/>
    <xf numFmtId="0" fontId="14" fillId="2" borderId="0"/>
    <xf numFmtId="0" fontId="14" fillId="2" borderId="0"/>
    <xf numFmtId="0" fontId="2" fillId="2" borderId="0"/>
    <xf numFmtId="0" fontId="14" fillId="2" borderId="0"/>
    <xf numFmtId="0" fontId="14" fillId="2" borderId="0"/>
    <xf numFmtId="0" fontId="25" fillId="2" borderId="0"/>
    <xf numFmtId="0" fontId="14" fillId="2" borderId="0"/>
    <xf numFmtId="0" fontId="14" fillId="2" borderId="0"/>
    <xf numFmtId="0" fontId="14" fillId="2" borderId="0"/>
    <xf numFmtId="0" fontId="25" fillId="2" borderId="0"/>
    <xf numFmtId="0" fontId="25" fillId="2" borderId="0"/>
    <xf numFmtId="0" fontId="14" fillId="0" borderId="0">
      <alignment wrapText="1"/>
    </xf>
    <xf numFmtId="0" fontId="26" fillId="0" borderId="0">
      <alignment wrapText="1"/>
    </xf>
    <xf numFmtId="0" fontId="14" fillId="0" borderId="0">
      <alignment wrapText="1"/>
    </xf>
    <xf numFmtId="0" fontId="14" fillId="0" borderId="0">
      <alignment wrapText="1"/>
    </xf>
    <xf numFmtId="0" fontId="2" fillId="0" borderId="0">
      <alignment wrapText="1"/>
    </xf>
    <xf numFmtId="0" fontId="14" fillId="0" borderId="0">
      <alignment wrapText="1"/>
    </xf>
    <xf numFmtId="0" fontId="14" fillId="0" borderId="0">
      <alignment wrapText="1"/>
    </xf>
    <xf numFmtId="0" fontId="26" fillId="0" borderId="0">
      <alignment wrapText="1"/>
    </xf>
    <xf numFmtId="0" fontId="14" fillId="0" borderId="0">
      <alignment wrapText="1"/>
    </xf>
    <xf numFmtId="0" fontId="14" fillId="0" borderId="0">
      <alignment wrapText="1"/>
    </xf>
    <xf numFmtId="0" fontId="14" fillId="0" borderId="0">
      <alignment wrapText="1"/>
    </xf>
    <xf numFmtId="0" fontId="26" fillId="0" borderId="0">
      <alignment wrapText="1"/>
    </xf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8" borderId="0" applyNumberFormat="0" applyBorder="0" applyAlignment="0" applyProtection="0"/>
    <xf numFmtId="0" fontId="67" fillId="21" borderId="0" applyNumberFormat="0" applyBorder="0" applyAlignment="0" applyProtection="0"/>
    <xf numFmtId="0" fontId="67" fillId="16" borderId="0" applyNumberFormat="0" applyBorder="0" applyAlignment="0" applyProtection="0"/>
    <xf numFmtId="0" fontId="67" fillId="20" borderId="0" applyNumberFormat="0" applyBorder="0" applyAlignment="0" applyProtection="0"/>
    <xf numFmtId="0" fontId="67" fillId="2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138" fillId="24" borderId="0" applyNumberFormat="0" applyBorder="0" applyAlignment="0" applyProtection="0"/>
    <xf numFmtId="0" fontId="138" fillId="18" borderId="0" applyNumberFormat="0" applyBorder="0" applyAlignment="0" applyProtection="0"/>
    <xf numFmtId="0" fontId="138" fillId="21" borderId="0" applyNumberFormat="0" applyBorder="0" applyAlignment="0" applyProtection="0"/>
    <xf numFmtId="0" fontId="138" fillId="25" borderId="0" applyNumberFormat="0" applyBorder="0" applyAlignment="0" applyProtection="0"/>
    <xf numFmtId="0" fontId="138" fillId="23" borderId="0" applyNumberFormat="0" applyBorder="0" applyAlignment="0" applyProtection="0"/>
    <xf numFmtId="0" fontId="138" fillId="26" borderId="0" applyNumberFormat="0" applyBorder="0" applyAlignment="0" applyProtection="0"/>
    <xf numFmtId="0" fontId="66" fillId="0" borderId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29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30" borderId="0" applyNumberFormat="0" applyBorder="0" applyAlignment="0" applyProtection="0"/>
    <xf numFmtId="0" fontId="82" fillId="30" borderId="0" applyNumberFormat="0" applyBorder="0" applyAlignment="0" applyProtection="0"/>
    <xf numFmtId="273" fontId="5" fillId="0" borderId="0" applyFont="0" applyFill="0" applyBorder="0" applyAlignment="0" applyProtection="0"/>
    <xf numFmtId="0" fontId="27" fillId="0" borderId="0" applyFont="0" applyFill="0" applyBorder="0" applyAlignment="0" applyProtection="0"/>
    <xf numFmtId="274" fontId="28" fillId="0" borderId="0" applyFont="0" applyFill="0" applyBorder="0" applyAlignment="0" applyProtection="0"/>
    <xf numFmtId="275" fontId="5" fillId="0" borderId="0" applyFont="0" applyFill="0" applyBorder="0" applyAlignment="0" applyProtection="0"/>
    <xf numFmtId="0" fontId="27" fillId="0" borderId="0" applyFont="0" applyFill="0" applyBorder="0" applyAlignment="0" applyProtection="0"/>
    <xf numFmtId="273" fontId="28" fillId="0" borderId="0" applyFont="0" applyFill="0" applyBorder="0" applyAlignment="0" applyProtection="0"/>
    <xf numFmtId="0" fontId="70" fillId="0" borderId="0">
      <alignment horizontal="center" wrapText="1"/>
      <protection locked="0"/>
    </xf>
    <xf numFmtId="0" fontId="139" fillId="0" borderId="0" applyNumberFormat="0" applyBorder="0" applyAlignment="0">
      <alignment horizontal="center"/>
    </xf>
    <xf numFmtId="209" fontId="140" fillId="0" borderId="0" applyFont="0" applyFill="0" applyBorder="0" applyAlignment="0" applyProtection="0"/>
    <xf numFmtId="209" fontId="140" fillId="0" borderId="0" applyFont="0" applyFill="0" applyBorder="0" applyAlignment="0" applyProtection="0"/>
    <xf numFmtId="254" fontId="140" fillId="0" borderId="0" applyFont="0" applyFill="0" applyBorder="0" applyAlignment="0" applyProtection="0"/>
    <xf numFmtId="254" fontId="140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5" fillId="0" borderId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66" fillId="0" borderId="0"/>
    <xf numFmtId="0" fontId="141" fillId="0" borderId="0" applyNumberFormat="0" applyFill="0" applyBorder="0" applyAlignment="0" applyProtection="0"/>
    <xf numFmtId="0" fontId="42" fillId="0" borderId="0"/>
    <xf numFmtId="0" fontId="48" fillId="0" borderId="0"/>
    <xf numFmtId="0" fontId="142" fillId="0" borderId="0"/>
    <xf numFmtId="0" fontId="143" fillId="0" borderId="0"/>
    <xf numFmtId="0" fontId="144" fillId="0" borderId="0"/>
    <xf numFmtId="214" fontId="2" fillId="0" borderId="0" applyFill="0" applyBorder="0" applyAlignment="0"/>
    <xf numFmtId="223" fontId="5" fillId="0" borderId="0" applyFill="0" applyBorder="0" applyAlignment="0"/>
    <xf numFmtId="219" fontId="5" fillId="0" borderId="0" applyFill="0" applyBorder="0" applyAlignment="0"/>
    <xf numFmtId="224" fontId="5" fillId="0" borderId="0" applyFill="0" applyBorder="0" applyAlignment="0"/>
    <xf numFmtId="225" fontId="5" fillId="0" borderId="0" applyFill="0" applyBorder="0" applyAlignment="0"/>
    <xf numFmtId="222" fontId="5" fillId="0" borderId="0" applyFill="0" applyBorder="0" applyAlignment="0"/>
    <xf numFmtId="226" fontId="5" fillId="0" borderId="0" applyFill="0" applyBorder="0" applyAlignment="0"/>
    <xf numFmtId="223" fontId="5" fillId="0" borderId="0" applyFill="0" applyBorder="0" applyAlignment="0"/>
    <xf numFmtId="0" fontId="84" fillId="9" borderId="24" applyNumberFormat="0" applyAlignment="0" applyProtection="0"/>
    <xf numFmtId="0" fontId="84" fillId="9" borderId="24" applyNumberFormat="0" applyAlignment="0" applyProtection="0"/>
    <xf numFmtId="0" fontId="85" fillId="0" borderId="0"/>
    <xf numFmtId="276" fontId="128" fillId="0" borderId="0" applyFont="0" applyFill="0" applyBorder="0" applyAlignment="0" applyProtection="0"/>
    <xf numFmtId="253" fontId="147" fillId="0" borderId="0" applyFont="0" applyFill="0" applyBorder="0" applyAlignment="0" applyProtection="0"/>
    <xf numFmtId="172" fontId="76" fillId="0" borderId="0" applyFont="0" applyFill="0" applyBorder="0" applyAlignment="0" applyProtection="0"/>
    <xf numFmtId="277" fontId="148" fillId="0" borderId="0"/>
    <xf numFmtId="277" fontId="148" fillId="0" borderId="0"/>
    <xf numFmtId="277" fontId="148" fillId="0" borderId="0"/>
    <xf numFmtId="277" fontId="148" fillId="0" borderId="0"/>
    <xf numFmtId="277" fontId="148" fillId="0" borderId="0"/>
    <xf numFmtId="277" fontId="148" fillId="0" borderId="0"/>
    <xf numFmtId="277" fontId="148" fillId="0" borderId="0"/>
    <xf numFmtId="277" fontId="148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78" fontId="78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22" fontId="78" fillId="0" borderId="0" applyFill="0" applyBorder="0" applyAlignment="0" applyProtection="0"/>
    <xf numFmtId="172" fontId="2" fillId="0" borderId="0" applyFont="0" applyFill="0" applyBorder="0" applyAlignment="0" applyProtection="0"/>
    <xf numFmtId="215" fontId="66" fillId="0" borderId="0" applyFont="0" applyFill="0" applyBorder="0" applyAlignment="0" applyProtection="0"/>
    <xf numFmtId="168" fontId="89" fillId="0" borderId="0" applyFont="0" applyFill="0" applyBorder="0" applyAlignment="0" applyProtection="0"/>
    <xf numFmtId="172" fontId="120" fillId="0" borderId="0" applyFont="0" applyFill="0" applyBorder="0" applyAlignment="0" applyProtection="0"/>
    <xf numFmtId="172" fontId="2" fillId="0" borderId="0" applyFont="0" applyFill="0" applyBorder="0" applyAlignment="0" applyProtection="0"/>
    <xf numFmtId="236" fontId="78" fillId="0" borderId="0" applyFill="0" applyBorder="0" applyAlignment="0" applyProtection="0"/>
    <xf numFmtId="215" fontId="66" fillId="0" borderId="0" applyFont="0" applyFill="0" applyBorder="0" applyAlignment="0" applyProtection="0"/>
    <xf numFmtId="0" fontId="2" fillId="0" borderId="0" applyFill="0" applyBorder="0" applyAlignment="0" applyProtection="0"/>
    <xf numFmtId="279" fontId="78" fillId="0" borderId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80" fontId="15" fillId="0" borderId="0" applyFont="0" applyFill="0" applyBorder="0" applyAlignment="0" applyProtection="0"/>
    <xf numFmtId="236" fontId="67" fillId="0" borderId="0" applyFill="0" applyBorder="0" applyAlignment="0" applyProtection="0"/>
    <xf numFmtId="172" fontId="67" fillId="0" borderId="0" applyFont="0" applyFill="0" applyBorder="0" applyAlignment="0" applyProtection="0"/>
    <xf numFmtId="172" fontId="120" fillId="0" borderId="0" applyFont="0" applyFill="0" applyBorder="0" applyAlignment="0" applyProtection="0"/>
    <xf numFmtId="172" fontId="67" fillId="0" borderId="0" applyFont="0" applyFill="0" applyBorder="0" applyAlignment="0" applyProtection="0"/>
    <xf numFmtId="185" fontId="9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213" fontId="48" fillId="0" borderId="0"/>
    <xf numFmtId="213" fontId="48" fillId="0" borderId="0"/>
    <xf numFmtId="0" fontId="149" fillId="0" borderId="0"/>
    <xf numFmtId="0" fontId="145" fillId="0" borderId="0"/>
    <xf numFmtId="3" fontId="78" fillId="0" borderId="0" applyFill="0" applyBorder="0" applyAlignment="0" applyProtection="0"/>
    <xf numFmtId="0" fontId="149" fillId="0" borderId="0"/>
    <xf numFmtId="0" fontId="145" fillId="0" borderId="0"/>
    <xf numFmtId="0" fontId="150" fillId="0" borderId="0">
      <alignment horizontal="center"/>
    </xf>
    <xf numFmtId="0" fontId="151" fillId="0" borderId="0" applyNumberFormat="0" applyAlignment="0">
      <alignment horizontal="left"/>
    </xf>
    <xf numFmtId="281" fontId="42" fillId="0" borderId="0" applyFont="0" applyFill="0" applyBorder="0" applyAlignment="0" applyProtection="0"/>
    <xf numFmtId="223" fontId="78" fillId="0" borderId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239" fontId="147" fillId="0" borderId="0" applyFont="0" applyFill="0" applyBorder="0" applyAlignment="0" applyProtection="0"/>
    <xf numFmtId="211" fontId="5" fillId="0" borderId="0"/>
    <xf numFmtId="211" fontId="5" fillId="0" borderId="0"/>
    <xf numFmtId="0" fontId="86" fillId="31" borderId="25" applyNumberFormat="0" applyAlignment="0" applyProtection="0"/>
    <xf numFmtId="0" fontId="86" fillId="31" borderId="25" applyNumberFormat="0" applyAlignment="0" applyProtection="0"/>
    <xf numFmtId="188" fontId="1" fillId="0" borderId="0" applyFont="0" applyFill="0" applyBorder="0" applyAlignment="0" applyProtection="0"/>
    <xf numFmtId="4" fontId="146" fillId="0" borderId="0" applyAlignment="0"/>
    <xf numFmtId="1" fontId="87" fillId="0" borderId="0" applyBorder="0"/>
    <xf numFmtId="207" fontId="2" fillId="0" borderId="26"/>
    <xf numFmtId="14" fontId="91" fillId="0" borderId="0" applyFill="0" applyBorder="0" applyAlignment="0"/>
    <xf numFmtId="0" fontId="5" fillId="0" borderId="0" applyFont="0" applyFill="0" applyBorder="0" applyAlignment="0" applyProtection="0"/>
    <xf numFmtId="3" fontId="154" fillId="0" borderId="17">
      <alignment horizontal="left" vertical="top" wrapText="1"/>
    </xf>
    <xf numFmtId="186" fontId="2" fillId="0" borderId="0" applyFont="0" applyFill="0" applyBorder="0" applyProtection="0">
      <alignment vertical="center"/>
    </xf>
    <xf numFmtId="186" fontId="2" fillId="0" borderId="0" applyFont="0" applyFill="0" applyBorder="0" applyProtection="0">
      <alignment vertical="center"/>
    </xf>
    <xf numFmtId="282" fontId="78" fillId="0" borderId="0" applyFill="0" applyBorder="0" applyProtection="0">
      <alignment vertical="center"/>
    </xf>
    <xf numFmtId="227" fontId="5" fillId="0" borderId="27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83" fontId="2" fillId="0" borderId="0"/>
    <xf numFmtId="284" fontId="21" fillId="0" borderId="4"/>
    <xf numFmtId="0" fontId="158" fillId="0" borderId="0">
      <protection locked="0"/>
    </xf>
    <xf numFmtId="212" fontId="5" fillId="0" borderId="0"/>
    <xf numFmtId="212" fontId="5" fillId="0" borderId="0"/>
    <xf numFmtId="285" fontId="21" fillId="0" borderId="0"/>
    <xf numFmtId="0" fontId="147" fillId="0" borderId="0">
      <alignment vertical="top" wrapText="1"/>
    </xf>
    <xf numFmtId="168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286" fontId="5" fillId="0" borderId="0" applyFont="0" applyFill="0" applyBorder="0" applyAlignment="0" applyProtection="0"/>
    <xf numFmtId="286" fontId="5" fillId="0" borderId="0" applyFont="0" applyFill="0" applyBorder="0" applyAlignment="0" applyProtection="0"/>
    <xf numFmtId="286" fontId="5" fillId="0" borderId="0" applyFont="0" applyFill="0" applyBorder="0" applyAlignment="0" applyProtection="0"/>
    <xf numFmtId="286" fontId="5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286" fontId="5" fillId="0" borderId="0" applyFont="0" applyFill="0" applyBorder="0" applyAlignment="0" applyProtection="0"/>
    <xf numFmtId="286" fontId="5" fillId="0" borderId="0" applyFont="0" applyFill="0" applyBorder="0" applyAlignment="0" applyProtection="0"/>
    <xf numFmtId="28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289" fontId="5" fillId="0" borderId="0" applyFont="0" applyFill="0" applyBorder="0" applyAlignment="0" applyProtection="0"/>
    <xf numFmtId="289" fontId="5" fillId="0" borderId="0" applyFont="0" applyFill="0" applyBorder="0" applyAlignment="0" applyProtection="0"/>
    <xf numFmtId="289" fontId="5" fillId="0" borderId="0" applyFont="0" applyFill="0" applyBorder="0" applyAlignment="0" applyProtection="0"/>
    <xf numFmtId="289" fontId="5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289" fontId="5" fillId="0" borderId="0" applyFont="0" applyFill="0" applyBorder="0" applyAlignment="0" applyProtection="0"/>
    <xf numFmtId="289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90" fontId="2" fillId="0" borderId="0" applyFont="0" applyFill="0" applyBorder="0" applyAlignment="0" applyProtection="0"/>
    <xf numFmtId="290" fontId="2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0" fontId="152" fillId="17" borderId="28" applyNumberFormat="0" applyAlignment="0" applyProtection="0"/>
    <xf numFmtId="0" fontId="153" fillId="10" borderId="24" applyNumberFormat="0" applyAlignment="0" applyProtection="0"/>
    <xf numFmtId="0" fontId="155" fillId="0" borderId="29" applyNumberFormat="0" applyFill="0" applyAlignment="0" applyProtection="0"/>
    <xf numFmtId="0" fontId="156" fillId="0" borderId="30" applyNumberFormat="0" applyFill="0" applyAlignment="0" applyProtection="0"/>
    <xf numFmtId="0" fontId="157" fillId="0" borderId="31" applyNumberFormat="0" applyFill="0" applyAlignment="0" applyProtection="0"/>
    <xf numFmtId="0" fontId="157" fillId="0" borderId="0" applyNumberFormat="0" applyFill="0" applyBorder="0" applyAlignment="0" applyProtection="0"/>
    <xf numFmtId="3" fontId="2" fillId="0" borderId="0" applyFont="0" applyBorder="0" applyAlignment="0"/>
    <xf numFmtId="0" fontId="160" fillId="0" borderId="0">
      <protection locked="0"/>
    </xf>
    <xf numFmtId="0" fontId="160" fillId="0" borderId="0">
      <protection locked="0"/>
    </xf>
    <xf numFmtId="222" fontId="5" fillId="0" borderId="0" applyFill="0" applyBorder="0" applyAlignment="0"/>
    <xf numFmtId="223" fontId="5" fillId="0" borderId="0" applyFill="0" applyBorder="0" applyAlignment="0"/>
    <xf numFmtId="222" fontId="5" fillId="0" borderId="0" applyFill="0" applyBorder="0" applyAlignment="0"/>
    <xf numFmtId="226" fontId="5" fillId="0" borderId="0" applyFill="0" applyBorder="0" applyAlignment="0"/>
    <xf numFmtId="223" fontId="5" fillId="0" borderId="0" applyFill="0" applyBorder="0" applyAlignment="0"/>
    <xf numFmtId="0" fontId="161" fillId="0" borderId="0" applyNumberFormat="0" applyAlignment="0">
      <alignment horizontal="left"/>
    </xf>
    <xf numFmtId="187" fontId="162" fillId="0" borderId="0">
      <protection locked="0"/>
    </xf>
    <xf numFmtId="187" fontId="162" fillId="0" borderId="0">
      <protection locked="0"/>
    </xf>
    <xf numFmtId="228" fontId="78" fillId="0" borderId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3" fontId="2" fillId="0" borderId="0" applyFont="0" applyBorder="0" applyAlignment="0"/>
    <xf numFmtId="0" fontId="158" fillId="0" borderId="0">
      <protection locked="0"/>
    </xf>
    <xf numFmtId="0" fontId="158" fillId="0" borderId="0">
      <protection locked="0"/>
    </xf>
    <xf numFmtId="0" fontId="158" fillId="0" borderId="0">
      <protection locked="0"/>
    </xf>
    <xf numFmtId="0" fontId="158" fillId="0" borderId="0">
      <protection locked="0"/>
    </xf>
    <xf numFmtId="0" fontId="158" fillId="0" borderId="0">
      <protection locked="0"/>
    </xf>
    <xf numFmtId="0" fontId="158" fillId="0" borderId="0">
      <protection locked="0"/>
    </xf>
    <xf numFmtId="0" fontId="158" fillId="0" borderId="0">
      <protection locked="0"/>
    </xf>
    <xf numFmtId="0" fontId="158" fillId="0" borderId="0">
      <protection locked="0"/>
    </xf>
    <xf numFmtId="4" fontId="158" fillId="0" borderId="0">
      <protection locked="0"/>
    </xf>
    <xf numFmtId="0" fontId="158" fillId="0" borderId="0">
      <protection locked="0"/>
    </xf>
    <xf numFmtId="291" fontId="2" fillId="0" borderId="0">
      <protection locked="0"/>
    </xf>
    <xf numFmtId="0" fontId="163" fillId="0" borderId="0" applyNumberFormat="0" applyFill="0" applyBorder="0" applyAlignment="0" applyProtection="0"/>
    <xf numFmtId="0" fontId="164" fillId="0" borderId="0" applyNumberFormat="0" applyFill="0" applyBorder="0" applyProtection="0">
      <alignment vertical="center"/>
    </xf>
    <xf numFmtId="0" fontId="165" fillId="0" borderId="0" applyNumberFormat="0" applyFill="0" applyBorder="0" applyAlignment="0" applyProtection="0"/>
    <xf numFmtId="0" fontId="166" fillId="0" borderId="0" applyNumberFormat="0" applyFill="0" applyBorder="0" applyProtection="0">
      <alignment vertical="center"/>
    </xf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292" fontId="79" fillId="0" borderId="32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32" borderId="33" applyNumberFormat="0" applyAlignment="0">
      <protection locked="0"/>
    </xf>
    <xf numFmtId="0" fontId="5" fillId="11" borderId="34" applyNumberFormat="0" applyFont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38" fontId="29" fillId="2" borderId="0" applyNumberFormat="0" applyBorder="0" applyAlignment="0" applyProtection="0"/>
    <xf numFmtId="293" fontId="68" fillId="2" borderId="0" applyBorder="0" applyProtection="0"/>
    <xf numFmtId="0" fontId="171" fillId="0" borderId="0">
      <alignment vertical="top" wrapText="1"/>
    </xf>
    <xf numFmtId="0" fontId="172" fillId="0" borderId="11" applyNumberFormat="0" applyFill="0" applyBorder="0" applyAlignment="0" applyProtection="0">
      <alignment horizontal="center" vertical="center"/>
    </xf>
    <xf numFmtId="0" fontId="78" fillId="0" borderId="0" applyNumberFormat="0" applyBorder="0" applyAlignment="0"/>
    <xf numFmtId="0" fontId="173" fillId="33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4" fillId="0" borderId="35" applyNumberFormat="0" applyFill="0" applyAlignment="0" applyProtection="0"/>
    <xf numFmtId="0" fontId="94" fillId="0" borderId="35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6" fillId="0" borderId="0" applyProtection="0"/>
    <xf numFmtId="0" fontId="6" fillId="0" borderId="0" applyProtection="0"/>
    <xf numFmtId="0" fontId="7" fillId="0" borderId="0" applyProtection="0"/>
    <xf numFmtId="0" fontId="7" fillId="0" borderId="0" applyProtection="0"/>
    <xf numFmtId="0" fontId="174" fillId="0" borderId="36">
      <alignment horizontal="center"/>
    </xf>
    <xf numFmtId="0" fontId="174" fillId="0" borderId="0">
      <alignment horizontal="center"/>
    </xf>
    <xf numFmtId="0" fontId="95" fillId="34" borderId="23" applyNumberFormat="0" applyAlignment="0"/>
    <xf numFmtId="0" fontId="175" fillId="0" borderId="0"/>
    <xf numFmtId="49" fontId="4" fillId="0" borderId="23">
      <alignment vertical="center"/>
    </xf>
    <xf numFmtId="0" fontId="48" fillId="0" borderId="0"/>
    <xf numFmtId="168" fontId="2" fillId="0" borderId="0" applyFont="0" applyFill="0" applyBorder="0" applyAlignment="0" applyProtection="0"/>
    <xf numFmtId="38" fontId="97" fillId="0" borderId="0" applyFont="0" applyFill="0" applyBorder="0" applyAlignment="0" applyProtection="0"/>
    <xf numFmtId="264" fontId="128" fillId="0" borderId="0" applyFont="0" applyFill="0" applyBorder="0" applyAlignment="0" applyProtection="0"/>
    <xf numFmtId="294" fontId="176" fillId="0" borderId="0" applyFont="0" applyFill="0" applyBorder="0" applyAlignment="0" applyProtection="0"/>
    <xf numFmtId="0" fontId="96" fillId="10" borderId="24" applyNumberFormat="0" applyAlignment="0" applyProtection="0"/>
    <xf numFmtId="10" fontId="29" fillId="35" borderId="4" applyNumberFormat="0" applyBorder="0" applyAlignment="0" applyProtection="0"/>
    <xf numFmtId="0" fontId="96" fillId="10" borderId="24" applyNumberFormat="0" applyAlignment="0" applyProtection="0"/>
    <xf numFmtId="2" fontId="129" fillId="0" borderId="7" applyBorder="0"/>
    <xf numFmtId="0" fontId="1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66" fillId="0" borderId="4">
      <alignment horizontal="center" vertical="center"/>
    </xf>
    <xf numFmtId="0" fontId="180" fillId="31" borderId="25" applyNumberFormat="0" applyAlignment="0" applyProtection="0"/>
    <xf numFmtId="0" fontId="181" fillId="0" borderId="37">
      <alignment horizontal="center" vertical="center" wrapText="1"/>
    </xf>
    <xf numFmtId="168" fontId="2" fillId="0" borderId="0" applyFont="0" applyFill="0" applyBorder="0" applyAlignment="0" applyProtection="0"/>
    <xf numFmtId="0" fontId="2" fillId="0" borderId="0"/>
    <xf numFmtId="2" fontId="179" fillId="0" borderId="8" applyBorder="0"/>
    <xf numFmtId="0" fontId="70" fillId="0" borderId="38">
      <alignment horizontal="centerContinuous"/>
    </xf>
    <xf numFmtId="0" fontId="147" fillId="3" borderId="0" applyNumberFormat="0" applyFont="0" applyBorder="0" applyAlignment="0"/>
    <xf numFmtId="0" fontId="97" fillId="0" borderId="0"/>
    <xf numFmtId="0" fontId="48" fillId="0" borderId="0" applyNumberFormat="0" applyFont="0" applyFill="0" applyBorder="0" applyProtection="0">
      <alignment horizontal="left" vertical="center"/>
    </xf>
    <xf numFmtId="0" fontId="97" fillId="0" borderId="0"/>
    <xf numFmtId="222" fontId="5" fillId="0" borderId="0" applyFill="0" applyBorder="0" applyAlignment="0"/>
    <xf numFmtId="223" fontId="5" fillId="0" borderId="0" applyFill="0" applyBorder="0" applyAlignment="0"/>
    <xf numFmtId="222" fontId="5" fillId="0" borderId="0" applyFill="0" applyBorder="0" applyAlignment="0"/>
    <xf numFmtId="226" fontId="5" fillId="0" borderId="0" applyFill="0" applyBorder="0" applyAlignment="0"/>
    <xf numFmtId="223" fontId="5" fillId="0" borderId="0" applyFill="0" applyBorder="0" applyAlignment="0"/>
    <xf numFmtId="0" fontId="98" fillId="0" borderId="39" applyNumberFormat="0" applyFill="0" applyAlignment="0" applyProtection="0"/>
    <xf numFmtId="0" fontId="98" fillId="0" borderId="39" applyNumberFormat="0" applyFill="0" applyAlignment="0" applyProtection="0"/>
    <xf numFmtId="207" fontId="182" fillId="0" borderId="6" applyNumberFormat="0" applyFont="0" applyFill="0" applyBorder="0">
      <alignment horizontal="center"/>
    </xf>
    <xf numFmtId="38" fontId="97" fillId="0" borderId="0" applyFont="0" applyFill="0" applyBorder="0" applyAlignment="0" applyProtection="0"/>
    <xf numFmtId="4" fontId="145" fillId="0" borderId="0" applyFont="0" applyFill="0" applyBorder="0" applyAlignment="0" applyProtection="0"/>
    <xf numFmtId="263" fontId="48" fillId="0" borderId="0" applyFont="0" applyFill="0" applyBorder="0" applyAlignment="0" applyProtection="0"/>
    <xf numFmtId="40" fontId="97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99" fillId="0" borderId="36"/>
    <xf numFmtId="208" fontId="100" fillId="0" borderId="0" applyFont="0" applyFill="0" applyBorder="0" applyAlignment="0" applyProtection="0"/>
    <xf numFmtId="209" fontId="100" fillId="0" borderId="0" applyFont="0" applyFill="0" applyBorder="0" applyAlignment="0" applyProtection="0"/>
    <xf numFmtId="170" fontId="162" fillId="0" borderId="0">
      <protection locked="0"/>
    </xf>
    <xf numFmtId="237" fontId="5" fillId="0" borderId="0" applyFont="0" applyFill="0" applyBorder="0" applyAlignment="0" applyProtection="0"/>
    <xf numFmtId="295" fontId="5" fillId="0" borderId="0" applyFont="0" applyFill="0" applyBorder="0" applyAlignment="0" applyProtection="0"/>
    <xf numFmtId="0" fontId="31" fillId="0" borderId="0" applyNumberFormat="0" applyFont="0" applyFill="0" applyAlignment="0"/>
    <xf numFmtId="0" fontId="31" fillId="0" borderId="0" applyNumberFormat="0" applyFont="0" applyFill="0" applyAlignment="0"/>
    <xf numFmtId="0" fontId="78" fillId="0" borderId="0" applyNumberFormat="0" applyFill="0" applyAlignment="0"/>
    <xf numFmtId="0" fontId="31" fillId="0" borderId="0" applyNumberFormat="0" applyFont="0" applyFill="0" applyAlignment="0"/>
    <xf numFmtId="0" fontId="67" fillId="0" borderId="0" applyNumberFormat="0" applyFill="0" applyAlignment="0"/>
    <xf numFmtId="0" fontId="67" fillId="0" borderId="0"/>
    <xf numFmtId="0" fontId="5" fillId="0" borderId="0" applyNumberFormat="0" applyFill="0" applyAlignment="0"/>
    <xf numFmtId="0" fontId="78" fillId="0" borderId="0" applyNumberFormat="0" applyFill="0" applyAlignment="0"/>
    <xf numFmtId="0" fontId="78" fillId="0" borderId="0" applyNumberFormat="0" applyFill="0" applyAlignment="0"/>
    <xf numFmtId="0" fontId="78" fillId="0" borderId="0" applyNumberFormat="0" applyFill="0" applyAlignment="0"/>
    <xf numFmtId="0" fontId="5" fillId="0" borderId="0" applyNumberFormat="0" applyFill="0" applyAlignment="0"/>
    <xf numFmtId="0" fontId="78" fillId="0" borderId="0" applyNumberFormat="0" applyFill="0" applyAlignment="0"/>
    <xf numFmtId="0" fontId="31" fillId="0" borderId="0" applyNumberFormat="0" applyFont="0" applyFill="0" applyAlignment="0"/>
    <xf numFmtId="0" fontId="101" fillId="19" borderId="0" applyNumberFormat="0" applyBorder="0" applyAlignment="0" applyProtection="0"/>
    <xf numFmtId="0" fontId="101" fillId="19" borderId="0" applyNumberFormat="0" applyBorder="0" applyAlignment="0" applyProtection="0"/>
    <xf numFmtId="0" fontId="42" fillId="0" borderId="4"/>
    <xf numFmtId="0" fontId="48" fillId="0" borderId="0"/>
    <xf numFmtId="0" fontId="48" fillId="0" borderId="0"/>
    <xf numFmtId="37" fontId="102" fillId="0" borderId="0"/>
    <xf numFmtId="37" fontId="102" fillId="0" borderId="0"/>
    <xf numFmtId="0" fontId="78" fillId="0" borderId="0" applyNumberFormat="0" applyFill="0" applyBorder="0" applyAlignment="0"/>
    <xf numFmtId="0" fontId="183" fillId="0" borderId="0"/>
    <xf numFmtId="210" fontId="2" fillId="0" borderId="0"/>
    <xf numFmtId="0" fontId="5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38" fontId="112" fillId="0" borderId="0"/>
    <xf numFmtId="238" fontId="112" fillId="0" borderId="0"/>
    <xf numFmtId="189" fontId="79" fillId="0" borderId="0"/>
    <xf numFmtId="0" fontId="103" fillId="0" borderId="0"/>
    <xf numFmtId="0" fontId="90" fillId="0" borderId="0"/>
    <xf numFmtId="0" fontId="5" fillId="0" borderId="0"/>
    <xf numFmtId="0" fontId="2" fillId="0" borderId="0"/>
    <xf numFmtId="0" fontId="2" fillId="0" borderId="0"/>
    <xf numFmtId="0" fontId="67" fillId="0" borderId="0"/>
    <xf numFmtId="0" fontId="59" fillId="0" borderId="0"/>
    <xf numFmtId="0" fontId="103" fillId="0" borderId="0"/>
    <xf numFmtId="0" fontId="19" fillId="0" borderId="0"/>
    <xf numFmtId="0" fontId="121" fillId="0" borderId="0"/>
    <xf numFmtId="0" fontId="7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78" fillId="0" borderId="0"/>
    <xf numFmtId="0" fontId="89" fillId="0" borderId="0"/>
    <xf numFmtId="0" fontId="19" fillId="0" borderId="0"/>
    <xf numFmtId="0" fontId="78" fillId="0" borderId="0"/>
    <xf numFmtId="0" fontId="5" fillId="0" borderId="0"/>
    <xf numFmtId="0" fontId="5" fillId="0" borderId="0"/>
    <xf numFmtId="0" fontId="15" fillId="0" borderId="0"/>
    <xf numFmtId="0" fontId="59" fillId="0" borderId="0"/>
    <xf numFmtId="0" fontId="5" fillId="0" borderId="0"/>
    <xf numFmtId="0" fontId="104" fillId="0" borderId="0"/>
    <xf numFmtId="0" fontId="15" fillId="0" borderId="0"/>
    <xf numFmtId="0" fontId="1" fillId="0" borderId="0"/>
    <xf numFmtId="0" fontId="15" fillId="0" borderId="0"/>
    <xf numFmtId="0" fontId="78" fillId="0" borderId="0"/>
    <xf numFmtId="0" fontId="5" fillId="0" borderId="0"/>
    <xf numFmtId="0" fontId="5" fillId="0" borderId="0"/>
    <xf numFmtId="0" fontId="78" fillId="0" borderId="0"/>
    <xf numFmtId="0" fontId="15" fillId="0" borderId="0"/>
    <xf numFmtId="0" fontId="105" fillId="0" borderId="0"/>
    <xf numFmtId="0" fontId="15" fillId="0" borderId="0"/>
    <xf numFmtId="0" fontId="105" fillId="0" borderId="0"/>
    <xf numFmtId="0" fontId="67" fillId="0" borderId="0"/>
    <xf numFmtId="0" fontId="134" fillId="0" borderId="0" applyFont="0"/>
    <xf numFmtId="0" fontId="184" fillId="0" borderId="0">
      <alignment horizontal="left" vertical="top"/>
    </xf>
    <xf numFmtId="0" fontId="145" fillId="3" borderId="0"/>
    <xf numFmtId="0" fontId="159" fillId="0" borderId="0"/>
    <xf numFmtId="0" fontId="2" fillId="11" borderId="34" applyNumberFormat="0" applyFont="0" applyAlignment="0" applyProtection="0"/>
    <xf numFmtId="0" fontId="2" fillId="11" borderId="34" applyNumberFormat="0" applyFont="0" applyAlignment="0" applyProtection="0"/>
    <xf numFmtId="296" fontId="185" fillId="0" borderId="0" applyFont="0" applyFill="0" applyBorder="0" applyProtection="0">
      <alignment vertical="top" wrapText="1"/>
    </xf>
    <xf numFmtId="0" fontId="21" fillId="0" borderId="1" applyNumberFormat="0" applyAlignment="0">
      <alignment horizontal="center"/>
    </xf>
    <xf numFmtId="0" fontId="138" fillId="36" borderId="0" applyNumberFormat="0" applyBorder="0" applyAlignment="0" applyProtection="0"/>
    <xf numFmtId="0" fontId="138" fillId="27" borderId="0" applyNumberFormat="0" applyBorder="0" applyAlignment="0" applyProtection="0"/>
    <xf numFmtId="0" fontId="138" fillId="28" borderId="0" applyNumberFormat="0" applyBorder="0" applyAlignment="0" applyProtection="0"/>
    <xf numFmtId="0" fontId="138" fillId="25" borderId="0" applyNumberFormat="0" applyBorder="0" applyAlignment="0" applyProtection="0"/>
    <xf numFmtId="0" fontId="138" fillId="23" borderId="0" applyNumberFormat="0" applyBorder="0" applyAlignment="0" applyProtection="0"/>
    <xf numFmtId="0" fontId="138" fillId="30" borderId="0" applyNumberFormat="0" applyBorder="0" applyAlignment="0" applyProtection="0"/>
    <xf numFmtId="0" fontId="21" fillId="0" borderId="0"/>
    <xf numFmtId="170" fontId="132" fillId="0" borderId="0" applyFont="0" applyFill="0" applyBorder="0" applyAlignment="0" applyProtection="0"/>
    <xf numFmtId="168" fontId="132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48" fillId="0" borderId="0"/>
    <xf numFmtId="0" fontId="107" fillId="9" borderId="28" applyNumberFormat="0" applyAlignment="0" applyProtection="0"/>
    <xf numFmtId="0" fontId="107" fillId="9" borderId="28" applyNumberFormat="0" applyAlignment="0" applyProtection="0"/>
    <xf numFmtId="0" fontId="186" fillId="0" borderId="39" applyNumberFormat="0" applyFill="0" applyAlignment="0" applyProtection="0"/>
    <xf numFmtId="188" fontId="187" fillId="0" borderId="1" applyFont="0" applyBorder="0" applyAlignment="0"/>
    <xf numFmtId="0" fontId="62" fillId="37" borderId="0"/>
    <xf numFmtId="171" fontId="5" fillId="0" borderId="0" applyFont="0" applyFill="0" applyBorder="0" applyAlignment="0" applyProtection="0"/>
    <xf numFmtId="14" fontId="70" fillId="0" borderId="0">
      <alignment horizontal="center" wrapText="1"/>
      <protection locked="0"/>
    </xf>
    <xf numFmtId="9" fontId="76" fillId="0" borderId="0" applyFont="0" applyFill="0" applyBorder="0" applyAlignment="0" applyProtection="0"/>
    <xf numFmtId="225" fontId="78" fillId="0" borderId="0" applyFill="0" applyBorder="0" applyAlignment="0" applyProtection="0"/>
    <xf numFmtId="229" fontId="78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8" fillId="0" borderId="0" applyFill="0" applyBorder="0" applyAlignment="0" applyProtection="0"/>
    <xf numFmtId="9" fontId="67" fillId="0" borderId="0" applyFont="0" applyFill="0" applyBorder="0" applyAlignment="0" applyProtection="0"/>
    <xf numFmtId="9" fontId="97" fillId="0" borderId="40" applyNumberFormat="0" applyBorder="0"/>
    <xf numFmtId="188" fontId="162" fillId="0" borderId="0">
      <protection locked="0"/>
    </xf>
    <xf numFmtId="222" fontId="5" fillId="0" borderId="0" applyFill="0" applyBorder="0" applyAlignment="0"/>
    <xf numFmtId="223" fontId="5" fillId="0" borderId="0" applyFill="0" applyBorder="0" applyAlignment="0"/>
    <xf numFmtId="222" fontId="5" fillId="0" borderId="0" applyFill="0" applyBorder="0" applyAlignment="0"/>
    <xf numFmtId="226" fontId="5" fillId="0" borderId="0" applyFill="0" applyBorder="0" applyAlignment="0"/>
    <xf numFmtId="223" fontId="5" fillId="0" borderId="0" applyFill="0" applyBorder="0" applyAlignment="0"/>
    <xf numFmtId="0" fontId="31" fillId="0" borderId="0"/>
    <xf numFmtId="0" fontId="78" fillId="0" borderId="0" applyNumberFormat="0" applyFill="0" applyBorder="0" applyAlignment="0" applyProtection="0"/>
    <xf numFmtId="0" fontId="88" fillId="0" borderId="41">
      <alignment horizontal="center"/>
    </xf>
    <xf numFmtId="0" fontId="5" fillId="0" borderId="0"/>
    <xf numFmtId="0" fontId="188" fillId="38" borderId="0" applyNumberFormat="0" applyFont="0" applyBorder="0" applyAlignment="0">
      <alignment horizontal="center"/>
    </xf>
    <xf numFmtId="14" fontId="189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vertical="top"/>
      <protection locked="0"/>
    </xf>
    <xf numFmtId="0" fontId="21" fillId="0" borderId="0"/>
    <xf numFmtId="264" fontId="128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190" fillId="39" borderId="42" applyNumberFormat="0" applyProtection="0">
      <alignment vertical="center"/>
    </xf>
    <xf numFmtId="4" fontId="191" fillId="39" borderId="42" applyNumberFormat="0" applyProtection="0">
      <alignment vertical="center"/>
    </xf>
    <xf numFmtId="4" fontId="192" fillId="39" borderId="42" applyNumberFormat="0" applyProtection="0">
      <alignment horizontal="left" vertical="center" indent="1"/>
    </xf>
    <xf numFmtId="4" fontId="192" fillId="40" borderId="0" applyNumberFormat="0" applyProtection="0">
      <alignment horizontal="left" vertical="center" indent="1"/>
    </xf>
    <xf numFmtId="4" fontId="192" fillId="41" borderId="42" applyNumberFormat="0" applyProtection="0">
      <alignment horizontal="right" vertical="center"/>
    </xf>
    <xf numFmtId="4" fontId="192" fillId="42" borderId="42" applyNumberFormat="0" applyProtection="0">
      <alignment horizontal="right" vertical="center"/>
    </xf>
    <xf numFmtId="4" fontId="192" fillId="43" borderId="42" applyNumberFormat="0" applyProtection="0">
      <alignment horizontal="right" vertical="center"/>
    </xf>
    <xf numFmtId="4" fontId="192" fillId="44" borderId="42" applyNumberFormat="0" applyProtection="0">
      <alignment horizontal="right" vertical="center"/>
    </xf>
    <xf numFmtId="4" fontId="192" fillId="45" borderId="42" applyNumberFormat="0" applyProtection="0">
      <alignment horizontal="right" vertical="center"/>
    </xf>
    <xf numFmtId="4" fontId="192" fillId="46" borderId="42" applyNumberFormat="0" applyProtection="0">
      <alignment horizontal="right" vertical="center"/>
    </xf>
    <xf numFmtId="4" fontId="192" fillId="47" borderId="42" applyNumberFormat="0" applyProtection="0">
      <alignment horizontal="right" vertical="center"/>
    </xf>
    <xf numFmtId="4" fontId="192" fillId="48" borderId="42" applyNumberFormat="0" applyProtection="0">
      <alignment horizontal="right" vertical="center"/>
    </xf>
    <xf numFmtId="4" fontId="192" fillId="49" borderId="42" applyNumberFormat="0" applyProtection="0">
      <alignment horizontal="right" vertical="center"/>
    </xf>
    <xf numFmtId="4" fontId="190" fillId="50" borderId="43" applyNumberFormat="0" applyProtection="0">
      <alignment horizontal="left" vertical="center" indent="1"/>
    </xf>
    <xf numFmtId="4" fontId="190" fillId="4" borderId="0" applyNumberFormat="0" applyProtection="0">
      <alignment horizontal="left" vertical="center" indent="1"/>
    </xf>
    <xf numFmtId="4" fontId="190" fillId="40" borderId="0" applyNumberFormat="0" applyProtection="0">
      <alignment horizontal="left" vertical="center" indent="1"/>
    </xf>
    <xf numFmtId="4" fontId="192" fillId="4" borderId="42" applyNumberFormat="0" applyProtection="0">
      <alignment horizontal="right" vertical="center"/>
    </xf>
    <xf numFmtId="4" fontId="91" fillId="4" borderId="0" applyNumberFormat="0" applyProtection="0">
      <alignment horizontal="left" vertical="center" indent="1"/>
    </xf>
    <xf numFmtId="4" fontId="91" fillId="40" borderId="0" applyNumberFormat="0" applyProtection="0">
      <alignment horizontal="left" vertical="center" indent="1"/>
    </xf>
    <xf numFmtId="4" fontId="192" fillId="51" borderId="42" applyNumberFormat="0" applyProtection="0">
      <alignment vertical="center"/>
    </xf>
    <xf numFmtId="4" fontId="193" fillId="51" borderId="42" applyNumberFormat="0" applyProtection="0">
      <alignment vertical="center"/>
    </xf>
    <xf numFmtId="4" fontId="190" fillId="4" borderId="44" applyNumberFormat="0" applyProtection="0">
      <alignment horizontal="left" vertical="center" indent="1"/>
    </xf>
    <xf numFmtId="4" fontId="192" fillId="51" borderId="42" applyNumberFormat="0" applyProtection="0">
      <alignment horizontal="right" vertical="center"/>
    </xf>
    <xf numFmtId="4" fontId="193" fillId="51" borderId="42" applyNumberFormat="0" applyProtection="0">
      <alignment horizontal="right" vertical="center"/>
    </xf>
    <xf numFmtId="4" fontId="190" fillId="4" borderId="42" applyNumberFormat="0" applyProtection="0">
      <alignment horizontal="left" vertical="center" indent="1"/>
    </xf>
    <xf numFmtId="4" fontId="194" fillId="52" borderId="44" applyNumberFormat="0" applyProtection="0">
      <alignment horizontal="left" vertical="center" indent="1"/>
    </xf>
    <xf numFmtId="4" fontId="195" fillId="51" borderId="42" applyNumberFormat="0" applyProtection="0">
      <alignment horizontal="right" vertical="center"/>
    </xf>
    <xf numFmtId="297" fontId="196" fillId="0" borderId="0" applyFont="0" applyFill="0" applyBorder="0" applyAlignment="0" applyProtection="0"/>
    <xf numFmtId="0" fontId="188" fillId="1" borderId="3" applyNumberFormat="0" applyFont="0" applyAlignment="0">
      <alignment horizontal="center"/>
    </xf>
    <xf numFmtId="4" fontId="5" fillId="0" borderId="17" applyBorder="0"/>
    <xf numFmtId="2" fontId="5" fillId="0" borderId="17"/>
    <xf numFmtId="244" fontId="5" fillId="0" borderId="0"/>
    <xf numFmtId="3" fontId="28" fillId="0" borderId="0"/>
    <xf numFmtId="0" fontId="197" fillId="0" borderId="0" applyNumberFormat="0" applyFill="0" applyBorder="0" applyAlignment="0">
      <alignment horizontal="center"/>
    </xf>
    <xf numFmtId="0" fontId="5" fillId="0" borderId="0"/>
    <xf numFmtId="1" fontId="5" fillId="0" borderId="0"/>
    <xf numFmtId="188" fontId="198" fillId="0" borderId="0" applyNumberFormat="0" applyBorder="0" applyAlignment="0">
      <alignment horizontal="centerContinuous"/>
    </xf>
    <xf numFmtId="0" fontId="44" fillId="0" borderId="0"/>
    <xf numFmtId="188" fontId="1" fillId="0" borderId="0" applyFont="0" applyFill="0" applyBorder="0" applyAlignment="0" applyProtection="0"/>
    <xf numFmtId="264" fontId="128" fillId="0" borderId="0" applyFont="0" applyFill="0" applyBorder="0" applyAlignment="0" applyProtection="0"/>
    <xf numFmtId="266" fontId="128" fillId="0" borderId="0" applyFont="0" applyFill="0" applyBorder="0" applyAlignment="0" applyProtection="0"/>
    <xf numFmtId="266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9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173" fontId="28" fillId="0" borderId="0" applyFont="0" applyFill="0" applyBorder="0" applyAlignment="0" applyProtection="0"/>
    <xf numFmtId="20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168" fontId="2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167" fontId="129" fillId="0" borderId="0" applyFont="0" applyFill="0" applyBorder="0" applyAlignment="0" applyProtection="0"/>
    <xf numFmtId="270" fontId="128" fillId="0" borderId="0" applyFont="0" applyFill="0" applyBorder="0" applyAlignment="0" applyProtection="0"/>
    <xf numFmtId="270" fontId="128" fillId="0" borderId="0" applyFont="0" applyFill="0" applyBorder="0" applyAlignment="0" applyProtection="0"/>
    <xf numFmtId="242" fontId="5" fillId="0" borderId="0" applyFont="0" applyFill="0" applyBorder="0" applyAlignment="0" applyProtection="0"/>
    <xf numFmtId="169" fontId="129" fillId="0" borderId="0" applyFont="0" applyFill="0" applyBorder="0" applyAlignment="0" applyProtection="0"/>
    <xf numFmtId="168" fontId="2" fillId="0" borderId="0" applyFont="0" applyFill="0" applyBorder="0" applyAlignment="0" applyProtection="0"/>
    <xf numFmtId="270" fontId="128" fillId="0" borderId="0" applyFont="0" applyFill="0" applyBorder="0" applyAlignment="0" applyProtection="0"/>
    <xf numFmtId="167" fontId="129" fillId="0" borderId="0" applyFont="0" applyFill="0" applyBorder="0" applyAlignment="0" applyProtection="0"/>
    <xf numFmtId="271" fontId="42" fillId="0" borderId="0" applyFont="0" applyFill="0" applyBorder="0" applyAlignment="0" applyProtection="0"/>
    <xf numFmtId="264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28" fillId="0" borderId="0" applyFont="0" applyFill="0" applyBorder="0" applyAlignment="0" applyProtection="0"/>
    <xf numFmtId="201" fontId="28" fillId="0" borderId="0" applyFont="0" applyFill="0" applyBorder="0" applyAlignment="0" applyProtection="0"/>
    <xf numFmtId="248" fontId="128" fillId="0" borderId="0" applyFont="0" applyFill="0" applyBorder="0" applyAlignment="0" applyProtection="0"/>
    <xf numFmtId="249" fontId="128" fillId="0" borderId="0" applyFont="0" applyFill="0" applyBorder="0" applyAlignment="0" applyProtection="0"/>
    <xf numFmtId="248" fontId="128" fillId="0" borderId="0" applyFont="0" applyFill="0" applyBorder="0" applyAlignment="0" applyProtection="0"/>
    <xf numFmtId="167" fontId="112" fillId="0" borderId="0" applyFont="0" applyFill="0" applyBorder="0" applyAlignment="0" applyProtection="0"/>
    <xf numFmtId="42" fontId="128" fillId="0" borderId="0" applyFont="0" applyFill="0" applyBorder="0" applyAlignment="0" applyProtection="0"/>
    <xf numFmtId="250" fontId="28" fillId="0" borderId="0" applyFont="0" applyFill="0" applyBorder="0" applyAlignment="0" applyProtection="0"/>
    <xf numFmtId="42" fontId="128" fillId="0" borderId="0" applyFont="0" applyFill="0" applyBorder="0" applyAlignment="0" applyProtection="0"/>
    <xf numFmtId="248" fontId="128" fillId="0" borderId="0" applyFont="0" applyFill="0" applyBorder="0" applyAlignment="0" applyProtection="0"/>
    <xf numFmtId="188" fontId="1" fillId="0" borderId="0" applyFont="0" applyFill="0" applyBorder="0" applyAlignment="0" applyProtection="0"/>
    <xf numFmtId="167" fontId="112" fillId="0" borderId="0" applyFont="0" applyFill="0" applyBorder="0" applyAlignment="0" applyProtection="0"/>
    <xf numFmtId="245" fontId="128" fillId="0" borderId="0" applyFont="0" applyFill="0" applyBorder="0" applyAlignment="0" applyProtection="0"/>
    <xf numFmtId="201" fontId="28" fillId="0" borderId="0" applyFont="0" applyFill="0" applyBorder="0" applyAlignment="0" applyProtection="0"/>
    <xf numFmtId="165" fontId="129" fillId="0" borderId="0" applyFont="0" applyFill="0" applyBorder="0" applyAlignment="0" applyProtection="0"/>
    <xf numFmtId="261" fontId="128" fillId="0" borderId="0" applyFont="0" applyFill="0" applyBorder="0" applyAlignment="0" applyProtection="0"/>
    <xf numFmtId="261" fontId="128" fillId="0" borderId="0" applyFont="0" applyFill="0" applyBorder="0" applyAlignment="0" applyProtection="0"/>
    <xf numFmtId="166" fontId="129" fillId="0" borderId="0" applyFont="0" applyFill="0" applyBorder="0" applyAlignment="0" applyProtection="0"/>
    <xf numFmtId="261" fontId="128" fillId="0" borderId="0" applyFont="0" applyFill="0" applyBorder="0" applyAlignment="0" applyProtection="0"/>
    <xf numFmtId="165" fontId="129" fillId="0" borderId="0" applyFont="0" applyFill="0" applyBorder="0" applyAlignment="0" applyProtection="0"/>
    <xf numFmtId="261" fontId="128" fillId="0" borderId="0" applyFont="0" applyFill="0" applyBorder="0" applyAlignment="0" applyProtection="0"/>
    <xf numFmtId="188" fontId="1" fillId="0" borderId="0" applyFont="0" applyFill="0" applyBorder="0" applyAlignment="0" applyProtection="0"/>
    <xf numFmtId="201" fontId="128" fillId="0" borderId="0" applyFont="0" applyFill="0" applyBorder="0" applyAlignment="0" applyProtection="0"/>
    <xf numFmtId="201" fontId="128" fillId="0" borderId="0" applyFont="0" applyFill="0" applyBorder="0" applyAlignment="0" applyProtection="0"/>
    <xf numFmtId="166" fontId="129" fillId="0" borderId="0" applyFont="0" applyFill="0" applyBorder="0" applyAlignment="0" applyProtection="0"/>
    <xf numFmtId="262" fontId="128" fillId="0" borderId="0" applyFont="0" applyFill="0" applyBorder="0" applyAlignment="0" applyProtection="0"/>
    <xf numFmtId="262" fontId="128" fillId="0" borderId="0" applyFont="0" applyFill="0" applyBorder="0" applyAlignment="0" applyProtection="0"/>
    <xf numFmtId="241" fontId="5" fillId="0" borderId="0" applyFont="0" applyFill="0" applyBorder="0" applyAlignment="0" applyProtection="0"/>
    <xf numFmtId="168" fontId="129" fillId="0" borderId="0" applyFont="0" applyFill="0" applyBorder="0" applyAlignment="0" applyProtection="0"/>
    <xf numFmtId="262" fontId="128" fillId="0" borderId="0" applyFont="0" applyFill="0" applyBorder="0" applyAlignment="0" applyProtection="0"/>
    <xf numFmtId="166" fontId="129" fillId="0" borderId="0" applyFont="0" applyFill="0" applyBorder="0" applyAlignment="0" applyProtection="0"/>
    <xf numFmtId="178" fontId="42" fillId="0" borderId="0" applyFont="0" applyFill="0" applyBorder="0" applyAlignment="0" applyProtection="0"/>
    <xf numFmtId="171" fontId="128" fillId="0" borderId="0" applyFont="0" applyFill="0" applyBorder="0" applyAlignment="0" applyProtection="0"/>
    <xf numFmtId="263" fontId="128" fillId="0" borderId="0" applyFont="0" applyFill="0" applyBorder="0" applyAlignment="0" applyProtection="0"/>
    <xf numFmtId="42" fontId="128" fillId="0" borderId="0" applyFont="0" applyFill="0" applyBorder="0" applyAlignment="0" applyProtection="0"/>
    <xf numFmtId="0" fontId="21" fillId="0" borderId="0"/>
    <xf numFmtId="298" fontId="42" fillId="0" borderId="0" applyFont="0" applyFill="0" applyBorder="0" applyAlignment="0" applyProtection="0"/>
    <xf numFmtId="171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188" fontId="1" fillId="0" borderId="0" applyFont="0" applyFill="0" applyBorder="0" applyAlignment="0" applyProtection="0"/>
    <xf numFmtId="171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42" fontId="128" fillId="0" borderId="0" applyFont="0" applyFill="0" applyBorder="0" applyAlignment="0" applyProtection="0"/>
    <xf numFmtId="261" fontId="128" fillId="0" borderId="0" applyFont="0" applyFill="0" applyBorder="0" applyAlignment="0" applyProtection="0"/>
    <xf numFmtId="201" fontId="28" fillId="0" borderId="0" applyFont="0" applyFill="0" applyBorder="0" applyAlignment="0" applyProtection="0"/>
    <xf numFmtId="201" fontId="128" fillId="0" borderId="0" applyFont="0" applyFill="0" applyBorder="0" applyAlignment="0" applyProtection="0"/>
    <xf numFmtId="0" fontId="21" fillId="0" borderId="0"/>
    <xf numFmtId="298" fontId="42" fillId="0" borderId="0" applyFont="0" applyFill="0" applyBorder="0" applyAlignment="0" applyProtection="0"/>
    <xf numFmtId="171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6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9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173" fontId="28" fillId="0" borderId="0" applyFont="0" applyFill="0" applyBorder="0" applyAlignment="0" applyProtection="0"/>
    <xf numFmtId="20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167" fontId="129" fillId="0" borderId="0" applyFont="0" applyFill="0" applyBorder="0" applyAlignment="0" applyProtection="0"/>
    <xf numFmtId="270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70" fontId="128" fillId="0" borderId="0" applyFont="0" applyFill="0" applyBorder="0" applyAlignment="0" applyProtection="0"/>
    <xf numFmtId="242" fontId="5" fillId="0" borderId="0" applyFont="0" applyFill="0" applyBorder="0" applyAlignment="0" applyProtection="0"/>
    <xf numFmtId="169" fontId="129" fillId="0" borderId="0" applyFont="0" applyFill="0" applyBorder="0" applyAlignment="0" applyProtection="0"/>
    <xf numFmtId="270" fontId="128" fillId="0" borderId="0" applyFont="0" applyFill="0" applyBorder="0" applyAlignment="0" applyProtection="0"/>
    <xf numFmtId="167" fontId="129" fillId="0" borderId="0" applyFont="0" applyFill="0" applyBorder="0" applyAlignment="0" applyProtection="0"/>
    <xf numFmtId="271" fontId="42" fillId="0" borderId="0" applyFont="0" applyFill="0" applyBorder="0" applyAlignment="0" applyProtection="0"/>
    <xf numFmtId="264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18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208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09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09" fontId="128" fillId="0" borderId="0" applyFont="0" applyFill="0" applyBorder="0" applyAlignment="0" applyProtection="0"/>
    <xf numFmtId="265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08" fontId="28" fillId="0" borderId="0" applyFont="0" applyFill="0" applyBorder="0" applyAlignment="0" applyProtection="0"/>
    <xf numFmtId="171" fontId="128" fillId="0" borderId="0" applyFont="0" applyFill="0" applyBorder="0" applyAlignment="0" applyProtection="0"/>
    <xf numFmtId="208" fontId="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09" fontId="128" fillId="0" borderId="0" applyFont="0" applyFill="0" applyBorder="0" applyAlignment="0" applyProtection="0"/>
    <xf numFmtId="266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7" fontId="128" fillId="0" borderId="0" applyFont="0" applyFill="0" applyBorder="0" applyAlignment="0" applyProtection="0"/>
    <xf numFmtId="268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67" fontId="128" fillId="0" borderId="0" applyFont="0" applyFill="0" applyBorder="0" applyAlignment="0" applyProtection="0"/>
    <xf numFmtId="209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171" fontId="128" fillId="0" borderId="0" applyFont="0" applyFill="0" applyBorder="0" applyAlignment="0" applyProtection="0"/>
    <xf numFmtId="208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264" fontId="128" fillId="0" borderId="0" applyFont="0" applyFill="0" applyBorder="0" applyAlignment="0" applyProtection="0"/>
    <xf numFmtId="14" fontId="100" fillId="0" borderId="0"/>
    <xf numFmtId="0" fontId="199" fillId="0" borderId="0"/>
    <xf numFmtId="0" fontId="99" fillId="0" borderId="0"/>
    <xf numFmtId="40" fontId="200" fillId="0" borderId="0" applyBorder="0">
      <alignment horizontal="right"/>
    </xf>
    <xf numFmtId="0" fontId="201" fillId="0" borderId="0"/>
    <xf numFmtId="200" fontId="42" fillId="0" borderId="7">
      <alignment horizontal="right" vertical="center"/>
    </xf>
    <xf numFmtId="200" fontId="42" fillId="0" borderId="7">
      <alignment horizontal="right" vertical="center"/>
    </xf>
    <xf numFmtId="175" fontId="202" fillId="0" borderId="7">
      <alignment horizontal="right" vertical="center"/>
    </xf>
    <xf numFmtId="174" fontId="66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16" fontId="42" fillId="0" borderId="45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176" fontId="21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6" fontId="21" fillId="0" borderId="7">
      <alignment horizontal="right" vertical="center"/>
    </xf>
    <xf numFmtId="243" fontId="2" fillId="0" borderId="7">
      <alignment horizontal="right" vertical="center"/>
    </xf>
    <xf numFmtId="240" fontId="2" fillId="0" borderId="7">
      <alignment horizontal="right" vertical="center"/>
    </xf>
    <xf numFmtId="240" fontId="2" fillId="0" borderId="7">
      <alignment horizontal="right" vertical="center"/>
    </xf>
    <xf numFmtId="299" fontId="2" fillId="0" borderId="7">
      <alignment horizontal="right" vertical="center"/>
    </xf>
    <xf numFmtId="300" fontId="128" fillId="0" borderId="7">
      <alignment horizontal="right" vertical="center"/>
    </xf>
    <xf numFmtId="299" fontId="2" fillId="0" borderId="7">
      <alignment horizontal="right" vertical="center"/>
    </xf>
    <xf numFmtId="176" fontId="21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243" fontId="2" fillId="0" borderId="7">
      <alignment horizontal="right" vertical="center"/>
    </xf>
    <xf numFmtId="176" fontId="21" fillId="0" borderId="7">
      <alignment horizontal="right" vertical="center"/>
    </xf>
    <xf numFmtId="301" fontId="28" fillId="0" borderId="7">
      <alignment horizontal="right" vertical="center"/>
    </xf>
    <xf numFmtId="176" fontId="21" fillId="0" borderId="7">
      <alignment horizontal="right" vertical="center"/>
    </xf>
    <xf numFmtId="200" fontId="42" fillId="0" borderId="7">
      <alignment horizontal="right" vertical="center"/>
    </xf>
    <xf numFmtId="216" fontId="42" fillId="0" borderId="45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99" fontId="2" fillId="0" borderId="7">
      <alignment horizontal="right" vertical="center"/>
    </xf>
    <xf numFmtId="300" fontId="128" fillId="0" borderId="7">
      <alignment horizontal="right" vertical="center"/>
    </xf>
    <xf numFmtId="299" fontId="2" fillId="0" borderId="7">
      <alignment horizontal="right" vertical="center"/>
    </xf>
    <xf numFmtId="240" fontId="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99" fontId="2" fillId="0" borderId="7">
      <alignment horizontal="right" vertical="center"/>
    </xf>
    <xf numFmtId="302" fontId="203" fillId="2" borderId="46" applyFont="0" applyFill="0" applyBorder="0"/>
    <xf numFmtId="299" fontId="2" fillId="0" borderId="7">
      <alignment horizontal="right" vertical="center"/>
    </xf>
    <xf numFmtId="216" fontId="42" fillId="0" borderId="45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173" fontId="42" fillId="0" borderId="7">
      <alignment horizontal="right" vertical="center"/>
    </xf>
    <xf numFmtId="302" fontId="203" fillId="2" borderId="46" applyFont="0" applyFill="0" applyBorder="0"/>
    <xf numFmtId="303" fontId="5" fillId="0" borderId="7">
      <alignment horizontal="right" vertical="center"/>
    </xf>
    <xf numFmtId="200" fontId="42" fillId="0" borderId="7">
      <alignment horizontal="right" vertical="center"/>
    </xf>
    <xf numFmtId="173" fontId="42" fillId="0" borderId="7">
      <alignment horizontal="right" vertical="center"/>
    </xf>
    <xf numFmtId="243" fontId="2" fillId="0" borderId="7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99" fontId="2" fillId="0" borderId="7">
      <alignment horizontal="right" vertical="center"/>
    </xf>
    <xf numFmtId="200" fontId="42" fillId="0" borderId="7">
      <alignment horizontal="right" vertical="center"/>
    </xf>
    <xf numFmtId="300" fontId="128" fillId="0" borderId="7">
      <alignment horizontal="right" vertical="center"/>
    </xf>
    <xf numFmtId="299" fontId="2" fillId="0" borderId="7">
      <alignment horizontal="right" vertical="center"/>
    </xf>
    <xf numFmtId="243" fontId="2" fillId="0" borderId="7">
      <alignment horizontal="right" vertical="center"/>
    </xf>
    <xf numFmtId="243" fontId="2" fillId="0" borderId="7">
      <alignment horizontal="right" vertical="center"/>
    </xf>
    <xf numFmtId="304" fontId="28" fillId="0" borderId="7">
      <alignment horizontal="right" vertical="center"/>
    </xf>
    <xf numFmtId="216" fontId="42" fillId="0" borderId="45">
      <alignment horizontal="right" vertical="center"/>
    </xf>
    <xf numFmtId="305" fontId="2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299" fontId="2" fillId="0" borderId="7">
      <alignment horizontal="right" vertical="center"/>
    </xf>
    <xf numFmtId="240" fontId="2" fillId="0" borderId="7">
      <alignment horizontal="right" vertical="center"/>
    </xf>
    <xf numFmtId="165" fontId="2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16" fontId="42" fillId="0" borderId="45">
      <alignment horizontal="right" vertical="center"/>
    </xf>
    <xf numFmtId="302" fontId="203" fillId="2" borderId="46" applyFont="0" applyFill="0" applyBorder="0"/>
    <xf numFmtId="299" fontId="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99" fontId="2" fillId="0" borderId="7">
      <alignment horizontal="right" vertical="center"/>
    </xf>
    <xf numFmtId="216" fontId="42" fillId="0" borderId="45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302" fontId="203" fillId="2" borderId="46" applyFont="0" applyFill="0" applyBorder="0"/>
    <xf numFmtId="302" fontId="203" fillId="2" borderId="46" applyFont="0" applyFill="0" applyBorder="0"/>
    <xf numFmtId="203" fontId="42" fillId="0" borderId="7">
      <alignment horizontal="right" vertical="center"/>
    </xf>
    <xf numFmtId="176" fontId="21" fillId="0" borderId="7">
      <alignment horizontal="right" vertical="center"/>
    </xf>
    <xf numFmtId="174" fontId="66" fillId="0" borderId="7">
      <alignment horizontal="right" vertical="center"/>
    </xf>
    <xf numFmtId="306" fontId="66" fillId="0" borderId="7">
      <alignment horizontal="right" vertical="center"/>
    </xf>
    <xf numFmtId="299" fontId="2" fillId="0" borderId="7">
      <alignment horizontal="right" vertical="center"/>
    </xf>
    <xf numFmtId="174" fontId="66" fillId="0" borderId="7">
      <alignment horizontal="right" vertical="center"/>
    </xf>
    <xf numFmtId="299" fontId="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174" fontId="66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00" fontId="42" fillId="0" borderId="7">
      <alignment horizontal="right" vertical="center"/>
    </xf>
    <xf numFmtId="302" fontId="203" fillId="2" borderId="46" applyFont="0" applyFill="0" applyBorder="0"/>
    <xf numFmtId="237" fontId="2" fillId="0" borderId="7">
      <alignment horizontal="right" vertical="center"/>
    </xf>
    <xf numFmtId="237" fontId="2" fillId="0" borderId="7">
      <alignment horizontal="right" vertical="center"/>
    </xf>
    <xf numFmtId="237" fontId="2" fillId="0" borderId="7">
      <alignment horizontal="right" vertical="center"/>
    </xf>
    <xf numFmtId="237" fontId="2" fillId="0" borderId="7">
      <alignment horizontal="right" vertical="center"/>
    </xf>
    <xf numFmtId="200" fontId="42" fillId="0" borderId="7">
      <alignment horizontal="right" vertical="center"/>
    </xf>
    <xf numFmtId="230" fontId="2" fillId="0" borderId="45">
      <alignment horizontal="right" vertical="center"/>
    </xf>
    <xf numFmtId="237" fontId="2" fillId="0" borderId="7">
      <alignment horizontal="right" vertical="center"/>
    </xf>
    <xf numFmtId="230" fontId="2" fillId="0" borderId="45">
      <alignment horizontal="right" vertical="center"/>
    </xf>
    <xf numFmtId="237" fontId="2" fillId="0" borderId="7">
      <alignment horizontal="right" vertical="center"/>
    </xf>
    <xf numFmtId="230" fontId="2" fillId="0" borderId="45">
      <alignment horizontal="right" vertical="center"/>
    </xf>
    <xf numFmtId="230" fontId="2" fillId="0" borderId="45">
      <alignment horizontal="right" vertical="center"/>
    </xf>
    <xf numFmtId="230" fontId="2" fillId="0" borderId="45">
      <alignment horizontal="right" vertical="center"/>
    </xf>
    <xf numFmtId="230" fontId="2" fillId="0" borderId="45">
      <alignment horizontal="right" vertical="center"/>
    </xf>
    <xf numFmtId="230" fontId="2" fillId="0" borderId="45">
      <alignment horizontal="right" vertical="center"/>
    </xf>
    <xf numFmtId="230" fontId="2" fillId="0" borderId="45">
      <alignment horizontal="right" vertical="center"/>
    </xf>
    <xf numFmtId="230" fontId="2" fillId="0" borderId="45">
      <alignment horizontal="right" vertical="center"/>
    </xf>
    <xf numFmtId="175" fontId="202" fillId="0" borderId="7">
      <alignment horizontal="right" vertical="center"/>
    </xf>
    <xf numFmtId="176" fontId="21" fillId="0" borderId="7">
      <alignment horizontal="right" vertical="center"/>
    </xf>
    <xf numFmtId="200" fontId="42" fillId="0" borderId="7">
      <alignment horizontal="right" vertical="center"/>
    </xf>
    <xf numFmtId="299" fontId="2" fillId="0" borderId="7">
      <alignment horizontal="right" vertical="center"/>
    </xf>
    <xf numFmtId="200" fontId="42" fillId="0" borderId="7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16" fontId="42" fillId="0" borderId="45">
      <alignment horizontal="right" vertical="center"/>
    </xf>
    <xf numFmtId="200" fontId="42" fillId="0" borderId="7">
      <alignment horizontal="right" vertical="center"/>
    </xf>
    <xf numFmtId="165" fontId="2" fillId="0" borderId="7">
      <alignment horizontal="right" vertical="center"/>
    </xf>
    <xf numFmtId="176" fontId="21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0" fontId="42" fillId="0" borderId="7">
      <alignment horizontal="right" vertical="center"/>
    </xf>
    <xf numFmtId="203" fontId="42" fillId="0" borderId="7">
      <alignment horizontal="right" vertical="center"/>
    </xf>
    <xf numFmtId="307" fontId="204" fillId="0" borderId="7">
      <alignment horizontal="right" vertical="center"/>
    </xf>
    <xf numFmtId="0" fontId="108" fillId="0" borderId="0">
      <alignment horizontal="center" vertical="center" wrapText="1"/>
    </xf>
    <xf numFmtId="49" fontId="91" fillId="0" borderId="0" applyFill="0" applyBorder="0" applyAlignment="0"/>
    <xf numFmtId="231" fontId="5" fillId="0" borderId="0" applyFill="0" applyBorder="0" applyAlignment="0"/>
    <xf numFmtId="220" fontId="5" fillId="0" borderId="0" applyFill="0" applyBorder="0" applyAlignment="0"/>
    <xf numFmtId="49" fontId="3" fillId="0" borderId="0" applyFont="0" applyFill="0" applyBorder="0" applyProtection="0">
      <alignment horizontal="center" vertical="center" wrapText="1" shrinkToFit="1"/>
    </xf>
    <xf numFmtId="0" fontId="207" fillId="0" borderId="1">
      <alignment horizontal="center" vertical="center" wrapText="1"/>
    </xf>
    <xf numFmtId="0" fontId="208" fillId="0" borderId="0" applyNumberFormat="0" applyFill="0" applyBorder="0" applyAlignment="0" applyProtection="0"/>
    <xf numFmtId="40" fontId="68" fillId="0" borderId="0"/>
    <xf numFmtId="0" fontId="209" fillId="17" borderId="24" applyNumberFormat="0" applyAlignment="0" applyProtection="0"/>
    <xf numFmtId="3" fontId="210" fillId="0" borderId="0" applyNumberFormat="0" applyFill="0" applyBorder="0" applyAlignment="0" applyProtection="0">
      <alignment horizontal="center" wrapText="1"/>
    </xf>
    <xf numFmtId="0" fontId="211" fillId="0" borderId="8" applyBorder="0" applyAlignment="0">
      <alignment horizontal="center" vertical="center"/>
    </xf>
    <xf numFmtId="0" fontId="212" fillId="0" borderId="0" applyNumberFormat="0" applyFill="0" applyBorder="0" applyAlignment="0" applyProtection="0">
      <alignment horizontal="centerContinuous"/>
    </xf>
    <xf numFmtId="0" fontId="172" fillId="0" borderId="47" applyNumberFormat="0" applyFill="0" applyBorder="0" applyAlignment="0" applyProtection="0">
      <alignment horizontal="center" vertical="center" wrapText="1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14" fillId="0" borderId="48" applyNumberFormat="0" applyBorder="0" applyAlignment="0">
      <alignment vertical="center"/>
    </xf>
    <xf numFmtId="0" fontId="5" fillId="0" borderId="5" applyNumberFormat="0" applyFont="0" applyFill="0" applyAlignment="0" applyProtection="0"/>
    <xf numFmtId="0" fontId="5" fillId="0" borderId="5" applyNumberFormat="0" applyFont="0" applyFill="0" applyAlignment="0" applyProtection="0"/>
    <xf numFmtId="0" fontId="213" fillId="0" borderId="49" applyNumberFormat="0" applyFill="0" applyAlignment="0" applyProtection="0"/>
    <xf numFmtId="0" fontId="215" fillId="15" borderId="0" applyNumberFormat="0" applyBorder="0" applyAlignment="0" applyProtection="0"/>
    <xf numFmtId="0" fontId="217" fillId="0" borderId="50">
      <alignment horizontal="center"/>
    </xf>
    <xf numFmtId="3" fontId="218" fillId="0" borderId="0" applyFill="0">
      <alignment vertical="center"/>
    </xf>
    <xf numFmtId="168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308" fontId="205" fillId="0" borderId="0" applyNumberFormat="0" applyFont="0" applyFill="0" applyBorder="0" applyAlignment="0">
      <alignment horizontal="centerContinuous"/>
    </xf>
    <xf numFmtId="0" fontId="109" fillId="0" borderId="51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" fillId="0" borderId="1" applyNumberFormat="0" applyBorder="0" applyAlignment="0"/>
    <xf numFmtId="0" fontId="206" fillId="0" borderId="6" applyNumberFormat="0" applyBorder="0" applyAlignment="0">
      <alignment horizontal="center"/>
    </xf>
    <xf numFmtId="3" fontId="110" fillId="0" borderId="11" applyNumberFormat="0" applyBorder="0" applyAlignment="0"/>
    <xf numFmtId="0" fontId="30" fillId="0" borderId="52" applyNumberFormat="0" applyAlignment="0">
      <alignment horizontal="center"/>
    </xf>
    <xf numFmtId="0" fontId="216" fillId="19" borderId="0" applyNumberFormat="0" applyBorder="0" applyAlignment="0" applyProtection="0"/>
    <xf numFmtId="188" fontId="122" fillId="0" borderId="53" applyNumberFormat="0" applyFont="0" applyAlignment="0">
      <alignment horizontal="centerContinuous"/>
    </xf>
    <xf numFmtId="164" fontId="176" fillId="0" borderId="0" applyFont="0" applyFill="0" applyBorder="0" applyAlignment="0" applyProtection="0"/>
    <xf numFmtId="309" fontId="2" fillId="0" borderId="0" applyFont="0" applyFill="0" applyBorder="0" applyAlignment="0" applyProtection="0"/>
    <xf numFmtId="310" fontId="2" fillId="0" borderId="0" applyFont="0" applyFill="0" applyBorder="0" applyAlignment="0" applyProtection="0"/>
    <xf numFmtId="0" fontId="7" fillId="0" borderId="54">
      <alignment horizontal="center"/>
    </xf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/>
    <xf numFmtId="0" fontId="112" fillId="0" borderId="0"/>
    <xf numFmtId="0" fontId="222" fillId="0" borderId="0"/>
    <xf numFmtId="3" fontId="42" fillId="0" borderId="0" applyNumberFormat="0" applyBorder="0" applyAlignment="0" applyProtection="0">
      <alignment horizontal="centerContinuous"/>
      <protection locked="0"/>
    </xf>
    <xf numFmtId="3" fontId="223" fillId="0" borderId="0">
      <protection locked="0"/>
    </xf>
    <xf numFmtId="0" fontId="112" fillId="0" borderId="0"/>
    <xf numFmtId="0" fontId="119" fillId="0" borderId="55" applyFill="0" applyBorder="0" applyAlignment="0">
      <alignment horizontal="center"/>
    </xf>
    <xf numFmtId="218" fontId="113" fillId="53" borderId="56">
      <alignment vertical="top"/>
    </xf>
    <xf numFmtId="218" fontId="21" fillId="0" borderId="57">
      <alignment horizontal="left" vertical="top"/>
    </xf>
    <xf numFmtId="5" fontId="21" fillId="0" borderId="17">
      <alignment horizontal="left" vertical="top"/>
    </xf>
    <xf numFmtId="5" fontId="21" fillId="0" borderId="17">
      <alignment horizontal="left" vertical="top"/>
    </xf>
    <xf numFmtId="0" fontId="116" fillId="0" borderId="57">
      <alignment horizontal="left" vertical="center"/>
    </xf>
    <xf numFmtId="0" fontId="3" fillId="54" borderId="23">
      <alignment horizontal="left" vertical="center"/>
    </xf>
    <xf numFmtId="217" fontId="114" fillId="55" borderId="56"/>
    <xf numFmtId="218" fontId="95" fillId="0" borderId="56">
      <alignment horizontal="left" vertical="top"/>
    </xf>
    <xf numFmtId="0" fontId="115" fillId="37" borderId="0">
      <alignment horizontal="left"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32" fontId="78" fillId="0" borderId="0" applyFill="0" applyBorder="0" applyAlignment="0" applyProtection="0"/>
    <xf numFmtId="233" fontId="78" fillId="0" borderId="0" applyFill="0" applyBorder="0" applyAlignment="0" applyProtection="0"/>
    <xf numFmtId="42" fontId="159" fillId="0" borderId="0" applyFont="0" applyFill="0" applyBorder="0" applyAlignment="0" applyProtection="0"/>
    <xf numFmtId="44" fontId="159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24" fillId="0" borderId="0" applyNumberFormat="0" applyFont="0" applyFill="0" applyBorder="0" applyProtection="0">
      <alignment horizontal="center" vertical="center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25" fillId="14" borderId="0" applyNumberFormat="0" applyBorder="0" applyAlignment="0" applyProtection="0"/>
    <xf numFmtId="0" fontId="66" fillId="0" borderId="58" applyFont="0" applyBorder="0" applyAlignment="0">
      <alignment horizontal="center"/>
    </xf>
    <xf numFmtId="168" fontId="2" fillId="0" borderId="0" applyFont="0" applyFill="0" applyBorder="0" applyAlignment="0" applyProtection="0"/>
    <xf numFmtId="234" fontId="78" fillId="0" borderId="0" applyFill="0" applyBorder="0" applyAlignment="0" applyProtection="0"/>
    <xf numFmtId="235" fontId="78" fillId="0" borderId="0" applyFill="0" applyBorder="0" applyAlignment="0" applyProtection="0"/>
    <xf numFmtId="0" fontId="118" fillId="0" borderId="0"/>
    <xf numFmtId="9" fontId="226" fillId="0" borderId="0" applyBorder="0" applyAlignment="0" applyProtection="0"/>
    <xf numFmtId="0" fontId="227" fillId="0" borderId="21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0" fillId="0" borderId="0"/>
    <xf numFmtId="0" fontId="228" fillId="0" borderId="0"/>
    <xf numFmtId="177" fontId="112" fillId="0" borderId="0" applyFont="0" applyFill="0" applyBorder="0" applyAlignment="0" applyProtection="0"/>
    <xf numFmtId="244" fontId="112" fillId="0" borderId="0" applyFont="0" applyFill="0" applyBorder="0" applyAlignment="0" applyProtection="0"/>
    <xf numFmtId="0" fontId="5" fillId="0" borderId="0"/>
    <xf numFmtId="187" fontId="5" fillId="0" borderId="0" applyFont="0" applyFill="0" applyBorder="0" applyAlignment="0" applyProtection="0"/>
    <xf numFmtId="167" fontId="112" fillId="0" borderId="0" applyFont="0" applyFill="0" applyBorder="0" applyAlignment="0" applyProtection="0"/>
    <xf numFmtId="0" fontId="67" fillId="0" borderId="0"/>
    <xf numFmtId="0" fontId="273" fillId="0" borderId="0"/>
  </cellStyleXfs>
  <cellXfs count="689">
    <xf numFmtId="0" fontId="0" fillId="0" borderId="0" xfId="0"/>
    <xf numFmtId="0" fontId="15" fillId="0" borderId="1" xfId="0" applyFont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/>
    <xf numFmtId="0" fontId="15" fillId="0" borderId="9" xfId="0" applyFont="1" applyBorder="1" applyAlignment="1">
      <alignment horizontal="center"/>
    </xf>
    <xf numFmtId="188" fontId="53" fillId="0" borderId="1" xfId="29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187" fontId="15" fillId="0" borderId="0" xfId="29" applyNumberFormat="1" applyFont="1" applyFill="1"/>
    <xf numFmtId="0" fontId="16" fillId="0" borderId="1" xfId="0" applyFont="1" applyBorder="1" applyAlignment="1">
      <alignment vertical="center" wrapText="1"/>
    </xf>
    <xf numFmtId="3" fontId="16" fillId="0" borderId="1" xfId="0" applyNumberFormat="1" applyFont="1" applyBorder="1" applyAlignment="1">
      <alignment horizontal="right" vertical="center" wrapText="1"/>
    </xf>
    <xf numFmtId="187" fontId="16" fillId="0" borderId="0" xfId="29" applyNumberFormat="1" applyFont="1" applyFill="1"/>
    <xf numFmtId="0" fontId="16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0" fontId="49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center" vertical="center" wrapText="1"/>
    </xf>
    <xf numFmtId="187" fontId="15" fillId="0" borderId="1" xfId="0" applyNumberFormat="1" applyFont="1" applyBorder="1" applyAlignment="1">
      <alignment horizontal="right" vertical="center" wrapText="1"/>
    </xf>
    <xf numFmtId="188" fontId="15" fillId="0" borderId="1" xfId="0" applyNumberFormat="1" applyFont="1" applyBorder="1" applyAlignment="1">
      <alignment horizontal="right" vertical="center" wrapText="1"/>
    </xf>
    <xf numFmtId="188" fontId="16" fillId="0" borderId="1" xfId="39" applyNumberFormat="1" applyFont="1" applyFill="1" applyBorder="1" applyAlignment="1">
      <alignment horizontal="right" vertical="center" wrapText="1"/>
    </xf>
    <xf numFmtId="187" fontId="15" fillId="0" borderId="1" xfId="39" applyNumberFormat="1" applyFont="1" applyFill="1" applyBorder="1" applyAlignment="1">
      <alignment horizontal="right" vertical="center" wrapText="1"/>
    </xf>
    <xf numFmtId="188" fontId="15" fillId="0" borderId="1" xfId="39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vertical="center" wrapText="1"/>
    </xf>
    <xf numFmtId="187" fontId="16" fillId="0" borderId="1" xfId="39" applyNumberFormat="1" applyFont="1" applyFill="1" applyBorder="1" applyAlignment="1">
      <alignment horizontal="right" vertical="center" wrapText="1"/>
    </xf>
    <xf numFmtId="0" fontId="15" fillId="0" borderId="1" xfId="0" quotePrefix="1" applyFont="1" applyBorder="1" applyAlignment="1">
      <alignment vertical="center" wrapText="1"/>
    </xf>
    <xf numFmtId="178" fontId="15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left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43" fontId="15" fillId="0" borderId="1" xfId="39" applyFont="1" applyFill="1" applyBorder="1" applyAlignment="1">
      <alignment horizontal="right" vertical="center" wrapText="1"/>
    </xf>
    <xf numFmtId="0" fontId="16" fillId="0" borderId="1" xfId="0" quotePrefix="1" applyFont="1" applyBorder="1" applyAlignment="1">
      <alignment vertical="center" wrapText="1"/>
    </xf>
    <xf numFmtId="0" fontId="17" fillId="0" borderId="1" xfId="0" quotePrefix="1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104" applyFont="1" applyBorder="1" applyAlignment="1">
      <alignment horizontal="center" vertical="center" wrapText="1"/>
    </xf>
    <xf numFmtId="0" fontId="16" fillId="0" borderId="1" xfId="104" applyFont="1" applyBorder="1" applyAlignment="1">
      <alignment vertical="center" wrapText="1"/>
    </xf>
    <xf numFmtId="0" fontId="17" fillId="0" borderId="1" xfId="104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left" vertical="center" wrapText="1"/>
    </xf>
    <xf numFmtId="3" fontId="15" fillId="0" borderId="1" xfId="104" applyNumberForma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179" fontId="15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188" fontId="16" fillId="0" borderId="1" xfId="29" applyNumberFormat="1" applyFont="1" applyFill="1" applyBorder="1" applyAlignment="1">
      <alignment horizontal="right" vertical="center" wrapText="1"/>
    </xf>
    <xf numFmtId="187" fontId="15" fillId="0" borderId="1" xfId="29" applyNumberFormat="1" applyFont="1" applyFill="1" applyBorder="1" applyAlignment="1">
      <alignment horizontal="right" vertical="center" wrapText="1"/>
    </xf>
    <xf numFmtId="188" fontId="15" fillId="0" borderId="1" xfId="29" applyNumberFormat="1" applyFont="1" applyFill="1" applyBorder="1" applyAlignment="1">
      <alignment horizontal="right" vertical="center" wrapText="1"/>
    </xf>
    <xf numFmtId="0" fontId="15" fillId="0" borderId="1" xfId="103" applyFont="1" applyBorder="1" applyAlignment="1">
      <alignment horizontal="center" vertical="center"/>
    </xf>
    <xf numFmtId="0" fontId="15" fillId="0" borderId="1" xfId="103" quotePrefix="1" applyFont="1" applyBorder="1" applyAlignment="1">
      <alignment vertical="center" wrapText="1"/>
    </xf>
    <xf numFmtId="0" fontId="15" fillId="0" borderId="9" xfId="0" applyFont="1" applyBorder="1"/>
    <xf numFmtId="187" fontId="16" fillId="0" borderId="1" xfId="29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/>
    </xf>
    <xf numFmtId="49" fontId="15" fillId="0" borderId="1" xfId="0" applyNumberFormat="1" applyFont="1" applyBorder="1" applyAlignment="1">
      <alignment vertical="center"/>
    </xf>
    <xf numFmtId="204" fontId="15" fillId="0" borderId="1" xfId="42" applyNumberFormat="1" applyFont="1" applyBorder="1" applyAlignment="1">
      <alignment horizontal="right" vertical="center" wrapText="1"/>
    </xf>
    <xf numFmtId="49" fontId="17" fillId="0" borderId="1" xfId="0" applyNumberFormat="1" applyFont="1" applyBorder="1" applyAlignment="1">
      <alignment vertical="center"/>
    </xf>
    <xf numFmtId="0" fontId="17" fillId="0" borderId="1" xfId="0" quotePrefix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49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right" vertical="center" wrapText="1"/>
    </xf>
    <xf numFmtId="0" fontId="16" fillId="0" borderId="1" xfId="0" quotePrefix="1" applyFont="1" applyBorder="1" applyAlignment="1">
      <alignment horizontal="center" vertical="center" wrapText="1"/>
    </xf>
    <xf numFmtId="188" fontId="15" fillId="0" borderId="0" xfId="0" applyNumberFormat="1" applyFont="1"/>
    <xf numFmtId="0" fontId="16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43" fontId="15" fillId="0" borderId="1" xfId="29" applyFont="1" applyFill="1" applyBorder="1" applyAlignment="1">
      <alignment horizontal="right" vertical="center" wrapText="1"/>
    </xf>
    <xf numFmtId="3" fontId="15" fillId="0" borderId="0" xfId="0" applyNumberFormat="1" applyFont="1"/>
    <xf numFmtId="3" fontId="17" fillId="0" borderId="0" xfId="0" applyNumberFormat="1" applyFont="1"/>
    <xf numFmtId="0" fontId="16" fillId="0" borderId="1" xfId="0" applyFont="1" applyBorder="1"/>
    <xf numFmtId="0" fontId="17" fillId="0" borderId="1" xfId="0" applyFont="1" applyBorder="1"/>
    <xf numFmtId="187" fontId="17" fillId="0" borderId="1" xfId="29" applyNumberFormat="1" applyFont="1" applyFill="1" applyBorder="1" applyAlignment="1">
      <alignment horizontal="right" vertical="center" wrapText="1"/>
    </xf>
    <xf numFmtId="188" fontId="17" fillId="0" borderId="1" xfId="29" applyNumberFormat="1" applyFont="1" applyFill="1" applyBorder="1" applyAlignment="1">
      <alignment horizontal="right" vertical="center" wrapText="1"/>
    </xf>
    <xf numFmtId="3" fontId="16" fillId="0" borderId="0" xfId="0" applyNumberFormat="1" applyFont="1"/>
    <xf numFmtId="2" fontId="15" fillId="0" borderId="1" xfId="0" applyNumberFormat="1" applyFont="1" applyBorder="1" applyAlignment="1">
      <alignment horizontal="right" vertical="center"/>
    </xf>
    <xf numFmtId="172" fontId="15" fillId="0" borderId="0" xfId="0" applyNumberFormat="1" applyFont="1"/>
    <xf numFmtId="3" fontId="15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46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188" fontId="15" fillId="0" borderId="9" xfId="29" applyNumberFormat="1" applyFont="1" applyFill="1" applyBorder="1" applyAlignment="1">
      <alignment horizontal="right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vertical="center" wrapText="1"/>
    </xf>
    <xf numFmtId="0" fontId="56" fillId="0" borderId="1" xfId="0" applyFont="1" applyBorder="1" applyAlignment="1">
      <alignment horizontal="right" vertical="center" wrapText="1"/>
    </xf>
    <xf numFmtId="187" fontId="56" fillId="0" borderId="1" xfId="29" applyNumberFormat="1" applyFont="1" applyFill="1" applyBorder="1" applyAlignment="1">
      <alignment horizontal="right" vertical="center" wrapText="1"/>
    </xf>
    <xf numFmtId="0" fontId="56" fillId="0" borderId="0" xfId="0" applyFont="1"/>
    <xf numFmtId="0" fontId="57" fillId="0" borderId="1" xfId="0" applyFont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4" fontId="16" fillId="5" borderId="1" xfId="0" applyNumberFormat="1" applyFont="1" applyFill="1" applyBorder="1" applyAlignment="1">
      <alignment horizontal="left" vertical="center" wrapText="1"/>
    </xf>
    <xf numFmtId="4" fontId="16" fillId="5" borderId="1" xfId="0" applyNumberFormat="1" applyFont="1" applyFill="1" applyBorder="1" applyAlignment="1">
      <alignment horizontal="center" vertical="center" wrapText="1"/>
    </xf>
    <xf numFmtId="4" fontId="16" fillId="5" borderId="1" xfId="0" applyNumberFormat="1" applyFont="1" applyFill="1" applyBorder="1" applyAlignment="1">
      <alignment horizontal="right" vertical="center" wrapText="1"/>
    </xf>
    <xf numFmtId="187" fontId="16" fillId="5" borderId="1" xfId="29" applyNumberFormat="1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vertical="center" wrapText="1"/>
    </xf>
    <xf numFmtId="0" fontId="49" fillId="5" borderId="1" xfId="0" applyFont="1" applyFill="1" applyBorder="1" applyAlignment="1">
      <alignment horizontal="center" vertical="center" wrapText="1"/>
    </xf>
    <xf numFmtId="187" fontId="15" fillId="5" borderId="1" xfId="0" applyNumberFormat="1" applyFont="1" applyFill="1" applyBorder="1" applyAlignment="1">
      <alignment horizontal="right" vertical="center" wrapText="1"/>
    </xf>
    <xf numFmtId="0" fontId="15" fillId="0" borderId="1" xfId="0" quotePrefix="1" applyFont="1" applyBorder="1" applyAlignment="1">
      <alignment horizontal="left" vertical="center" wrapText="1" indent="4"/>
    </xf>
    <xf numFmtId="0" fontId="15" fillId="0" borderId="1" xfId="0" applyFont="1" applyBorder="1" applyAlignment="1">
      <alignment horizontal="left" vertical="center" wrapText="1" indent="4"/>
    </xf>
    <xf numFmtId="0" fontId="15" fillId="0" borderId="1" xfId="0" quotePrefix="1" applyFont="1" applyBorder="1" applyAlignment="1">
      <alignment horizontal="left" vertical="center" wrapText="1" indent="2"/>
    </xf>
    <xf numFmtId="0" fontId="15" fillId="0" borderId="1" xfId="0" applyFont="1" applyBorder="1" applyAlignment="1">
      <alignment horizontal="left" vertical="center" wrapText="1" indent="2"/>
    </xf>
    <xf numFmtId="0" fontId="56" fillId="0" borderId="6" xfId="0" applyFont="1" applyBorder="1" applyAlignment="1">
      <alignment horizontal="center" vertical="center" wrapText="1"/>
    </xf>
    <xf numFmtId="4" fontId="58" fillId="0" borderId="6" xfId="0" applyNumberFormat="1" applyFont="1" applyBorder="1" applyAlignment="1">
      <alignment horizontal="center" vertical="center" wrapText="1"/>
    </xf>
    <xf numFmtId="187" fontId="56" fillId="0" borderId="6" xfId="29" applyNumberFormat="1" applyFont="1" applyFill="1" applyBorder="1" applyAlignment="1">
      <alignment horizontal="center" vertical="center" wrapText="1"/>
    </xf>
    <xf numFmtId="4" fontId="58" fillId="0" borderId="1" xfId="0" applyNumberFormat="1" applyFont="1" applyBorder="1" applyAlignment="1">
      <alignment horizontal="center" vertical="center" wrapText="1"/>
    </xf>
    <xf numFmtId="187" fontId="58" fillId="0" borderId="1" xfId="29" applyNumberFormat="1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right" vertical="center" wrapText="1"/>
    </xf>
    <xf numFmtId="188" fontId="15" fillId="5" borderId="1" xfId="39" applyNumberFormat="1" applyFont="1" applyFill="1" applyBorder="1" applyAlignment="1">
      <alignment horizontal="right" vertical="center" wrapText="1"/>
    </xf>
    <xf numFmtId="0" fontId="15" fillId="0" borderId="6" xfId="0" applyFont="1" applyBorder="1"/>
    <xf numFmtId="0" fontId="56" fillId="0" borderId="1" xfId="0" applyFont="1" applyBorder="1"/>
    <xf numFmtId="0" fontId="16" fillId="5" borderId="1" xfId="0" applyFont="1" applyFill="1" applyBorder="1"/>
    <xf numFmtId="188" fontId="16" fillId="5" borderId="1" xfId="29" applyNumberFormat="1" applyFont="1" applyFill="1" applyBorder="1" applyAlignment="1">
      <alignment horizontal="right" vertical="center" wrapText="1"/>
    </xf>
    <xf numFmtId="0" fontId="15" fillId="5" borderId="1" xfId="0" applyFont="1" applyFill="1" applyBorder="1" applyAlignment="1">
      <alignment horizontal="center" vertical="center" wrapText="1"/>
    </xf>
    <xf numFmtId="188" fontId="15" fillId="5" borderId="1" xfId="29" applyNumberFormat="1" applyFont="1" applyFill="1" applyBorder="1" applyAlignment="1">
      <alignment horizontal="right" vertical="center" wrapText="1"/>
    </xf>
    <xf numFmtId="0" fontId="15" fillId="5" borderId="1" xfId="0" applyFont="1" applyFill="1" applyBorder="1"/>
    <xf numFmtId="0" fontId="15" fillId="5" borderId="1" xfId="0" applyFont="1" applyFill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left" vertical="center" wrapText="1" indent="2"/>
    </xf>
    <xf numFmtId="3" fontId="15" fillId="0" borderId="1" xfId="0" applyNumberFormat="1" applyFont="1" applyBorder="1" applyAlignment="1">
      <alignment horizontal="right"/>
    </xf>
    <xf numFmtId="205" fontId="17" fillId="0" borderId="0" xfId="0" applyNumberFormat="1" applyFont="1"/>
    <xf numFmtId="0" fontId="16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3" fontId="59" fillId="0" borderId="1" xfId="0" applyNumberFormat="1" applyFont="1" applyBorder="1"/>
    <xf numFmtId="0" fontId="16" fillId="0" borderId="1" xfId="0" applyFont="1" applyBorder="1" applyAlignment="1">
      <alignment horizontal="right" vertical="center" wrapText="1"/>
    </xf>
    <xf numFmtId="3" fontId="59" fillId="0" borderId="1" xfId="0" applyNumberFormat="1" applyFont="1" applyBorder="1" applyAlignment="1">
      <alignment horizontal="right"/>
    </xf>
    <xf numFmtId="204" fontId="15" fillId="0" borderId="1" xfId="42" applyNumberFormat="1" applyFont="1" applyFill="1" applyBorder="1" applyAlignment="1">
      <alignment horizontal="right" vertical="center" wrapText="1"/>
    </xf>
    <xf numFmtId="188" fontId="53" fillId="0" borderId="1" xfId="29" applyNumberFormat="1" applyFont="1" applyFill="1" applyBorder="1" applyAlignment="1">
      <alignment horizontal="right" vertical="center" wrapText="1"/>
    </xf>
    <xf numFmtId="188" fontId="56" fillId="0" borderId="1" xfId="39" applyNumberFormat="1" applyFont="1" applyFill="1" applyBorder="1" applyAlignment="1">
      <alignment horizontal="right" vertical="center" wrapText="1"/>
    </xf>
    <xf numFmtId="188" fontId="56" fillId="0" borderId="0" xfId="0" applyNumberFormat="1" applyFont="1"/>
    <xf numFmtId="178" fontId="56" fillId="0" borderId="1" xfId="0" applyNumberFormat="1" applyFont="1" applyBorder="1" applyAlignment="1">
      <alignment horizontal="right" vertical="center" wrapText="1"/>
    </xf>
    <xf numFmtId="187" fontId="56" fillId="0" borderId="1" xfId="39" applyNumberFormat="1" applyFont="1" applyFill="1" applyBorder="1" applyAlignment="1">
      <alignment horizontal="right" vertical="center" wrapText="1"/>
    </xf>
    <xf numFmtId="187" fontId="46" fillId="0" borderId="1" xfId="29" applyNumberFormat="1" applyFont="1" applyFill="1" applyBorder="1" applyAlignment="1">
      <alignment horizontal="right" vertical="center" wrapText="1"/>
    </xf>
    <xf numFmtId="0" fontId="58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vertical="center" wrapText="1"/>
    </xf>
    <xf numFmtId="0" fontId="58" fillId="0" borderId="1" xfId="0" applyFont="1" applyBorder="1" applyAlignment="1">
      <alignment horizontal="right" vertical="center" wrapText="1"/>
    </xf>
    <xf numFmtId="0" fontId="58" fillId="0" borderId="1" xfId="0" applyFont="1" applyBorder="1"/>
    <xf numFmtId="0" fontId="58" fillId="0" borderId="0" xfId="0" applyFont="1"/>
    <xf numFmtId="2" fontId="16" fillId="0" borderId="1" xfId="0" applyNumberFormat="1" applyFont="1" applyBorder="1" applyAlignment="1">
      <alignment horizontal="righ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46" fillId="0" borderId="1" xfId="104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left" vertical="center" wrapText="1"/>
    </xf>
    <xf numFmtId="3" fontId="17" fillId="0" borderId="1" xfId="104" applyNumberFormat="1" applyFont="1" applyBorder="1" applyAlignment="1">
      <alignment horizontal="right" vertical="center" wrapText="1"/>
    </xf>
    <xf numFmtId="0" fontId="15" fillId="0" borderId="1" xfId="104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/>
    </xf>
    <xf numFmtId="205" fontId="16" fillId="0" borderId="0" xfId="0" applyNumberFormat="1" applyFont="1"/>
    <xf numFmtId="4" fontId="16" fillId="0" borderId="1" xfId="0" applyNumberFormat="1" applyFont="1" applyBorder="1" applyAlignment="1">
      <alignment horizontal="left" vertical="center" wrapText="1" indent="2"/>
    </xf>
    <xf numFmtId="188" fontId="16" fillId="0" borderId="0" xfId="0" applyNumberFormat="1" applyFont="1"/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4" fontId="17" fillId="0" borderId="1" xfId="0" applyNumberFormat="1" applyFont="1" applyBorder="1" applyAlignment="1">
      <alignment horizontal="left" vertical="center" wrapText="1"/>
    </xf>
    <xf numFmtId="0" fontId="0" fillId="0" borderId="0" xfId="103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left" vertical="center" wrapText="1"/>
    </xf>
    <xf numFmtId="0" fontId="62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vertical="center"/>
    </xf>
    <xf numFmtId="0" fontId="62" fillId="0" borderId="1" xfId="0" applyFont="1" applyBorder="1" applyAlignment="1">
      <alignment horizontal="center" vertical="center" wrapText="1"/>
    </xf>
    <xf numFmtId="49" fontId="63" fillId="0" borderId="1" xfId="0" applyNumberFormat="1" applyFont="1" applyBorder="1" applyAlignment="1">
      <alignment horizontal="center" vertical="center"/>
    </xf>
    <xf numFmtId="49" fontId="63" fillId="0" borderId="1" xfId="0" applyNumberFormat="1" applyFont="1" applyBorder="1" applyAlignment="1">
      <alignment vertical="center" wrapText="1"/>
    </xf>
    <xf numFmtId="0" fontId="63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left" vertical="center"/>
    </xf>
    <xf numFmtId="0" fontId="62" fillId="0" borderId="1" xfId="0" applyFont="1" applyBorder="1" applyAlignment="1">
      <alignment vertical="center" wrapText="1"/>
    </xf>
    <xf numFmtId="0" fontId="63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vertical="center" wrapText="1"/>
    </xf>
    <xf numFmtId="0" fontId="16" fillId="0" borderId="1" xfId="139" applyFont="1" applyBorder="1" applyAlignment="1">
      <alignment horizontal="center" vertical="center" wrapText="1"/>
    </xf>
    <xf numFmtId="0" fontId="16" fillId="0" borderId="1" xfId="139" applyFont="1" applyBorder="1" applyAlignment="1">
      <alignment horizontal="left" vertical="center" wrapText="1"/>
    </xf>
    <xf numFmtId="0" fontId="17" fillId="0" borderId="1" xfId="139" applyFont="1" applyBorder="1" applyAlignment="1">
      <alignment vertical="center" wrapText="1"/>
    </xf>
    <xf numFmtId="0" fontId="17" fillId="0" borderId="1" xfId="139" applyFont="1" applyBorder="1" applyAlignment="1">
      <alignment horizontal="center" vertical="center" wrapText="1"/>
    </xf>
    <xf numFmtId="0" fontId="48" fillId="0" borderId="0" xfId="139" applyFont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87" fontId="15" fillId="0" borderId="1" xfId="0" applyNumberFormat="1" applyFont="1" applyBorder="1" applyAlignment="1">
      <alignment horizontal="center" vertical="center" wrapText="1"/>
    </xf>
    <xf numFmtId="0" fontId="15" fillId="0" borderId="1" xfId="103" quotePrefix="1" applyFont="1" applyBorder="1" applyAlignment="1">
      <alignment horizontal="center" vertical="center"/>
    </xf>
    <xf numFmtId="0" fontId="15" fillId="0" borderId="1" xfId="103" applyFont="1" applyBorder="1" applyAlignment="1">
      <alignment vertical="center" wrapText="1"/>
    </xf>
    <xf numFmtId="0" fontId="15" fillId="0" borderId="1" xfId="103" applyFont="1" applyBorder="1" applyAlignment="1">
      <alignment vertical="center"/>
    </xf>
    <xf numFmtId="0" fontId="15" fillId="0" borderId="1" xfId="0" applyFont="1" applyBorder="1" applyAlignment="1">
      <alignment horizontal="justify" vertical="center" wrapText="1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1" xfId="139" applyFont="1" applyBorder="1" applyAlignment="1">
      <alignment horizontal="center" vertical="center" wrapText="1"/>
    </xf>
    <xf numFmtId="0" fontId="15" fillId="0" borderId="1" xfId="139" applyFont="1" applyBorder="1" applyAlignment="1">
      <alignment vertical="center" wrapText="1"/>
    </xf>
    <xf numFmtId="0" fontId="15" fillId="0" borderId="1" xfId="139" quotePrefix="1" applyFont="1" applyBorder="1" applyAlignment="1">
      <alignment horizontal="center" vertical="center" wrapText="1"/>
    </xf>
    <xf numFmtId="0" fontId="15" fillId="0" borderId="1" xfId="139" applyFont="1" applyBorder="1" applyAlignment="1">
      <alignment horizontal="left" vertical="center" wrapText="1"/>
    </xf>
    <xf numFmtId="0" fontId="15" fillId="0" borderId="1" xfId="139" quotePrefix="1" applyFont="1" applyBorder="1" applyAlignment="1">
      <alignment vertical="center" wrapText="1"/>
    </xf>
    <xf numFmtId="187" fontId="15" fillId="0" borderId="1" xfId="29" applyNumberFormat="1" applyFont="1" applyBorder="1" applyAlignment="1">
      <alignment horizontal="right" vertical="center" wrapText="1"/>
    </xf>
    <xf numFmtId="0" fontId="17" fillId="0" borderId="1" xfId="139" applyFont="1" applyBorder="1" applyAlignment="1">
      <alignment horizontal="left" vertical="center" wrapText="1"/>
    </xf>
    <xf numFmtId="188" fontId="15" fillId="0" borderId="1" xfId="29" applyNumberFormat="1" applyFont="1" applyBorder="1" applyAlignment="1">
      <alignment horizontal="right" vertical="center" wrapText="1"/>
    </xf>
    <xf numFmtId="4" fontId="15" fillId="0" borderId="1" xfId="104" applyNumberFormat="1" applyBorder="1" applyAlignment="1">
      <alignment horizontal="right" vertical="center" wrapText="1"/>
    </xf>
    <xf numFmtId="178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87" fontId="16" fillId="0" borderId="6" xfId="29" applyNumberFormat="1" applyFont="1" applyBorder="1" applyAlignment="1">
      <alignment horizontal="right" vertical="center" wrapText="1"/>
    </xf>
    <xf numFmtId="187" fontId="16" fillId="0" borderId="1" xfId="29" applyNumberFormat="1" applyFont="1" applyBorder="1" applyAlignment="1">
      <alignment horizontal="right" vertical="center" wrapText="1"/>
    </xf>
    <xf numFmtId="187" fontId="15" fillId="0" borderId="9" xfId="29" applyNumberFormat="1" applyFont="1" applyBorder="1" applyAlignment="1">
      <alignment horizontal="right" vertical="center" wrapText="1"/>
    </xf>
    <xf numFmtId="188" fontId="15" fillId="0" borderId="6" xfId="29" applyNumberFormat="1" applyFont="1" applyBorder="1" applyAlignment="1">
      <alignment horizontal="right" vertical="center" wrapText="1"/>
    </xf>
    <xf numFmtId="188" fontId="15" fillId="0" borderId="9" xfId="29" applyNumberFormat="1" applyFont="1" applyBorder="1" applyAlignment="1">
      <alignment horizontal="right" vertical="center" wrapText="1"/>
    </xf>
    <xf numFmtId="0" fontId="15" fillId="0" borderId="9" xfId="0" applyFont="1" applyBorder="1" applyAlignment="1">
      <alignment horizontal="right" vertical="center" wrapText="1"/>
    </xf>
    <xf numFmtId="188" fontId="16" fillId="0" borderId="6" xfId="29" applyNumberFormat="1" applyFont="1" applyBorder="1" applyAlignment="1">
      <alignment horizontal="right" vertical="center" wrapText="1"/>
    </xf>
    <xf numFmtId="188" fontId="16" fillId="0" borderId="1" xfId="29" applyNumberFormat="1" applyFont="1" applyBorder="1" applyAlignment="1">
      <alignment horizontal="right" vertical="center" wrapText="1"/>
    </xf>
    <xf numFmtId="0" fontId="15" fillId="0" borderId="1" xfId="139" applyFont="1" applyBorder="1" applyAlignment="1">
      <alignment horizontal="right" vertical="center" wrapText="1"/>
    </xf>
    <xf numFmtId="187" fontId="15" fillId="0" borderId="0" xfId="29" applyNumberFormat="1" applyFont="1" applyFill="1" applyAlignment="1">
      <alignment horizontal="right" wrapText="1"/>
    </xf>
    <xf numFmtId="188" fontId="15" fillId="0" borderId="0" xfId="0" applyNumberFormat="1" applyFont="1" applyAlignment="1">
      <alignment vertical="center"/>
    </xf>
    <xf numFmtId="187" fontId="15" fillId="0" borderId="0" xfId="29" applyNumberFormat="1" applyFont="1" applyFill="1" applyAlignment="1">
      <alignment horizontal="right" vertical="center" wrapText="1"/>
    </xf>
    <xf numFmtId="178" fontId="15" fillId="0" borderId="1" xfId="104" applyNumberFormat="1" applyBorder="1" applyAlignment="1">
      <alignment horizontal="right" vertical="center" wrapText="1"/>
    </xf>
    <xf numFmtId="43" fontId="16" fillId="0" borderId="1" xfId="29" applyFont="1" applyFill="1" applyBorder="1" applyAlignment="1">
      <alignment horizontal="right" vertical="center" wrapText="1"/>
    </xf>
    <xf numFmtId="188" fontId="15" fillId="0" borderId="6" xfId="29" applyNumberFormat="1" applyFont="1" applyFill="1" applyBorder="1" applyAlignment="1">
      <alignment horizontal="right" vertical="center" wrapText="1"/>
    </xf>
    <xf numFmtId="188" fontId="48" fillId="0" borderId="0" xfId="0" applyNumberFormat="1" applyFont="1" applyAlignment="1">
      <alignment vertical="center"/>
    </xf>
    <xf numFmtId="187" fontId="15" fillId="0" borderId="9" xfId="29" applyNumberFormat="1" applyFont="1" applyFill="1" applyBorder="1" applyAlignment="1">
      <alignment horizontal="right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3" fontId="46" fillId="0" borderId="1" xfId="0" applyNumberFormat="1" applyFont="1" applyBorder="1" applyAlignment="1">
      <alignment horizontal="right" vertical="center" wrapText="1"/>
    </xf>
    <xf numFmtId="0" fontId="46" fillId="0" borderId="1" xfId="0" applyFont="1" applyBorder="1"/>
    <xf numFmtId="0" fontId="46" fillId="0" borderId="0" xfId="0" applyFont="1"/>
    <xf numFmtId="178" fontId="46" fillId="0" borderId="1" xfId="0" applyNumberFormat="1" applyFont="1" applyBorder="1" applyAlignment="1">
      <alignment horizontal="right" vertical="center" wrapText="1"/>
    </xf>
    <xf numFmtId="178" fontId="46" fillId="0" borderId="1" xfId="29" applyNumberFormat="1" applyFont="1" applyFill="1" applyBorder="1" applyAlignment="1">
      <alignment horizontal="right" vertical="center" wrapText="1"/>
    </xf>
    <xf numFmtId="178" fontId="16" fillId="0" borderId="1" xfId="0" applyNumberFormat="1" applyFont="1" applyBorder="1" applyAlignment="1">
      <alignment horizontal="right" vertical="center" wrapText="1"/>
    </xf>
    <xf numFmtId="178" fontId="15" fillId="0" borderId="1" xfId="29" applyNumberFormat="1" applyFont="1" applyFill="1" applyBorder="1" applyAlignment="1">
      <alignment horizontal="right" vertical="center" wrapText="1"/>
    </xf>
    <xf numFmtId="4" fontId="46" fillId="0" borderId="1" xfId="0" applyNumberFormat="1" applyFont="1" applyBorder="1" applyAlignment="1">
      <alignment horizontal="left"/>
    </xf>
    <xf numFmtId="4" fontId="46" fillId="0" borderId="1" xfId="0" applyNumberFormat="1" applyFont="1" applyBorder="1" applyAlignment="1">
      <alignment horizontal="center"/>
    </xf>
    <xf numFmtId="178" fontId="46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left"/>
    </xf>
    <xf numFmtId="4" fontId="15" fillId="0" borderId="1" xfId="0" applyNumberFormat="1" applyFont="1" applyBorder="1" applyAlignment="1">
      <alignment horizontal="center"/>
    </xf>
    <xf numFmtId="178" fontId="15" fillId="0" borderId="1" xfId="0" applyNumberFormat="1" applyFont="1" applyBorder="1" applyAlignment="1">
      <alignment horizontal="right"/>
    </xf>
    <xf numFmtId="188" fontId="15" fillId="0" borderId="1" xfId="29" applyNumberFormat="1" applyFont="1" applyFill="1" applyBorder="1" applyAlignment="1">
      <alignment horizontal="center" vertical="center" wrapText="1"/>
    </xf>
    <xf numFmtId="0" fontId="48" fillId="0" borderId="0" xfId="0" applyFont="1"/>
    <xf numFmtId="4" fontId="16" fillId="0" borderId="0" xfId="0" applyNumberFormat="1" applyFont="1" applyAlignment="1">
      <alignment horizontal="center"/>
    </xf>
    <xf numFmtId="0" fontId="15" fillId="0" borderId="4" xfId="0" applyFont="1" applyBorder="1" applyAlignment="1">
      <alignment horizontal="center"/>
    </xf>
    <xf numFmtId="4" fontId="16" fillId="0" borderId="4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4" fontId="16" fillId="0" borderId="6" xfId="0" applyNumberFormat="1" applyFont="1" applyBorder="1" applyAlignment="1">
      <alignment horizontal="left" vertical="center" wrapText="1"/>
    </xf>
    <xf numFmtId="4" fontId="16" fillId="0" borderId="6" xfId="0" applyNumberFormat="1" applyFont="1" applyBorder="1" applyAlignment="1">
      <alignment horizontal="right" vertical="center" wrapText="1"/>
    </xf>
    <xf numFmtId="187" fontId="16" fillId="0" borderId="6" xfId="29" applyNumberFormat="1" applyFont="1" applyFill="1" applyBorder="1" applyAlignment="1">
      <alignment horizontal="right" vertical="center" wrapText="1"/>
    </xf>
    <xf numFmtId="187" fontId="15" fillId="0" borderId="6" xfId="29" applyNumberFormat="1" applyFont="1" applyFill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48" fillId="0" borderId="9" xfId="0" applyFont="1" applyBorder="1"/>
    <xf numFmtId="4" fontId="15" fillId="0" borderId="6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left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4" fontId="16" fillId="0" borderId="1" xfId="0" quotePrefix="1" applyNumberFormat="1" applyFont="1" applyBorder="1" applyAlignment="1">
      <alignment horizontal="left" vertical="center" wrapText="1"/>
    </xf>
    <xf numFmtId="0" fontId="64" fillId="0" borderId="0" xfId="0" applyFont="1"/>
    <xf numFmtId="187" fontId="0" fillId="0" borderId="0" xfId="0" applyNumberFormat="1"/>
    <xf numFmtId="0" fontId="0" fillId="0" borderId="9" xfId="0" applyBorder="1"/>
    <xf numFmtId="0" fontId="65" fillId="0" borderId="0" xfId="0" applyFont="1"/>
    <xf numFmtId="3" fontId="48" fillId="0" borderId="0" xfId="0" applyNumberFormat="1" applyFont="1"/>
    <xf numFmtId="4" fontId="17" fillId="0" borderId="1" xfId="0" quotePrefix="1" applyNumberFormat="1" applyFont="1" applyBorder="1" applyAlignment="1">
      <alignment horizontal="left" vertical="center" wrapText="1"/>
    </xf>
    <xf numFmtId="4" fontId="15" fillId="0" borderId="1" xfId="0" quotePrefix="1" applyNumberFormat="1" applyFont="1" applyBorder="1" applyAlignment="1">
      <alignment horizontal="left" vertical="center" wrapText="1"/>
    </xf>
    <xf numFmtId="0" fontId="47" fillId="0" borderId="0" xfId="0" applyFont="1"/>
    <xf numFmtId="187" fontId="48" fillId="0" borderId="9" xfId="29" applyNumberFormat="1" applyFont="1" applyFill="1" applyBorder="1" applyAlignment="1">
      <alignment horizontal="right"/>
    </xf>
    <xf numFmtId="0" fontId="69" fillId="0" borderId="0" xfId="0" applyFont="1"/>
    <xf numFmtId="187" fontId="48" fillId="0" borderId="0" xfId="0" applyNumberFormat="1" applyFont="1"/>
    <xf numFmtId="2" fontId="48" fillId="0" borderId="0" xfId="0" applyNumberFormat="1" applyFont="1"/>
    <xf numFmtId="205" fontId="47" fillId="0" borderId="0" xfId="0" applyNumberFormat="1" applyFont="1"/>
    <xf numFmtId="3" fontId="48" fillId="0" borderId="0" xfId="0" applyNumberFormat="1" applyFont="1" applyAlignment="1">
      <alignment vertical="center"/>
    </xf>
    <xf numFmtId="3" fontId="232" fillId="0" borderId="0" xfId="0" applyNumberFormat="1" applyFont="1" applyAlignment="1">
      <alignment horizontal="right" vertical="center"/>
    </xf>
    <xf numFmtId="3" fontId="73" fillId="0" borderId="0" xfId="0" applyNumberFormat="1" applyFont="1" applyAlignment="1">
      <alignment vertical="center"/>
    </xf>
    <xf numFmtId="3" fontId="233" fillId="0" borderId="0" xfId="0" applyNumberFormat="1" applyFont="1" applyAlignment="1">
      <alignment vertical="center"/>
    </xf>
    <xf numFmtId="3" fontId="237" fillId="0" borderId="4" xfId="0" applyNumberFormat="1" applyFont="1" applyBorder="1" applyAlignment="1">
      <alignment horizontal="center" vertical="center" wrapText="1"/>
    </xf>
    <xf numFmtId="3" fontId="238" fillId="0" borderId="4" xfId="0" applyNumberFormat="1" applyFont="1" applyBorder="1" applyAlignment="1">
      <alignment horizontal="center" vertical="center" wrapText="1"/>
    </xf>
    <xf numFmtId="3" fontId="234" fillId="0" borderId="4" xfId="0" applyNumberFormat="1" applyFont="1" applyBorder="1" applyAlignment="1">
      <alignment horizontal="center" vertical="center" wrapText="1"/>
    </xf>
    <xf numFmtId="3" fontId="240" fillId="0" borderId="4" xfId="0" applyNumberFormat="1" applyFont="1" applyBorder="1" applyAlignment="1">
      <alignment horizontal="center" vertical="center" wrapText="1"/>
    </xf>
    <xf numFmtId="3" fontId="241" fillId="0" borderId="4" xfId="0" applyNumberFormat="1" applyFont="1" applyBorder="1" applyAlignment="1">
      <alignment horizontal="center" vertical="center" wrapText="1"/>
    </xf>
    <xf numFmtId="3" fontId="242" fillId="0" borderId="4" xfId="0" applyNumberFormat="1" applyFont="1" applyBorder="1" applyAlignment="1">
      <alignment horizontal="center" vertical="center" wrapText="1"/>
    </xf>
    <xf numFmtId="3" fontId="243" fillId="0" borderId="4" xfId="0" applyNumberFormat="1" applyFont="1" applyBorder="1" applyAlignment="1">
      <alignment horizontal="center" vertical="center" wrapText="1"/>
    </xf>
    <xf numFmtId="3" fontId="244" fillId="0" borderId="0" xfId="0" applyNumberFormat="1" applyFont="1" applyAlignment="1">
      <alignment horizontal="center" vertical="center"/>
    </xf>
    <xf numFmtId="3" fontId="229" fillId="0" borderId="0" xfId="0" applyNumberFormat="1" applyFont="1" applyAlignment="1">
      <alignment horizontal="center" vertical="center"/>
    </xf>
    <xf numFmtId="3" fontId="243" fillId="0" borderId="17" xfId="0" applyNumberFormat="1" applyFont="1" applyBorder="1" applyAlignment="1">
      <alignment horizontal="center" vertical="center" wrapText="1"/>
    </xf>
    <xf numFmtId="3" fontId="239" fillId="0" borderId="17" xfId="0" applyNumberFormat="1" applyFont="1" applyBorder="1" applyAlignment="1">
      <alignment horizontal="left" vertical="center" wrapText="1"/>
    </xf>
    <xf numFmtId="3" fontId="243" fillId="0" borderId="17" xfId="0" applyNumberFormat="1" applyFont="1" applyBorder="1" applyAlignment="1">
      <alignment horizontal="right" vertical="center" wrapText="1"/>
    </xf>
    <xf numFmtId="3" fontId="241" fillId="0" borderId="17" xfId="0" applyNumberFormat="1" applyFont="1" applyBorder="1" applyAlignment="1">
      <alignment horizontal="right" vertical="center" wrapText="1"/>
    </xf>
    <xf numFmtId="3" fontId="242" fillId="0" borderId="17" xfId="0" applyNumberFormat="1" applyFont="1" applyBorder="1" applyAlignment="1">
      <alignment horizontal="right" vertical="center" wrapText="1"/>
    </xf>
    <xf numFmtId="3" fontId="245" fillId="0" borderId="0" xfId="0" applyNumberFormat="1" applyFont="1" applyAlignment="1">
      <alignment horizontal="center" vertical="center"/>
    </xf>
    <xf numFmtId="3" fontId="246" fillId="0" borderId="1" xfId="0" applyNumberFormat="1" applyFont="1" applyBorder="1" applyAlignment="1">
      <alignment horizontal="center" vertical="center" wrapText="1"/>
    </xf>
    <xf numFmtId="3" fontId="246" fillId="0" borderId="1" xfId="0" applyNumberFormat="1" applyFont="1" applyBorder="1" applyAlignment="1">
      <alignment vertical="center" wrapText="1"/>
    </xf>
    <xf numFmtId="3" fontId="246" fillId="0" borderId="1" xfId="0" applyNumberFormat="1" applyFont="1" applyBorder="1" applyAlignment="1">
      <alignment horizontal="right" vertical="center" wrapText="1"/>
    </xf>
    <xf numFmtId="3" fontId="247" fillId="0" borderId="1" xfId="0" applyNumberFormat="1" applyFont="1" applyBorder="1" applyAlignment="1">
      <alignment horizontal="right" vertical="center" wrapText="1"/>
    </xf>
    <xf numFmtId="4" fontId="246" fillId="0" borderId="1" xfId="0" applyNumberFormat="1" applyFont="1" applyBorder="1" applyAlignment="1">
      <alignment horizontal="right" vertical="center" wrapText="1"/>
    </xf>
    <xf numFmtId="3" fontId="248" fillId="0" borderId="1" xfId="0" applyNumberFormat="1" applyFont="1" applyBorder="1" applyAlignment="1">
      <alignment horizontal="right" vertical="center" wrapText="1"/>
    </xf>
    <xf numFmtId="3" fontId="233" fillId="0" borderId="1" xfId="0" applyNumberFormat="1" applyFont="1" applyBorder="1" applyAlignment="1">
      <alignment vertical="center"/>
    </xf>
    <xf numFmtId="3" fontId="246" fillId="0" borderId="1" xfId="0" quotePrefix="1" applyNumberFormat="1" applyFont="1" applyBorder="1" applyAlignment="1">
      <alignment horizontal="center" vertical="center" wrapText="1"/>
    </xf>
    <xf numFmtId="3" fontId="239" fillId="0" borderId="1" xfId="0" applyNumberFormat="1" applyFont="1" applyBorder="1" applyAlignment="1">
      <alignment horizontal="center" vertical="center" wrapText="1"/>
    </xf>
    <xf numFmtId="3" fontId="239" fillId="0" borderId="1" xfId="0" applyNumberFormat="1" applyFont="1" applyBorder="1" applyAlignment="1">
      <alignment vertical="center" wrapText="1"/>
    </xf>
    <xf numFmtId="3" fontId="239" fillId="0" borderId="1" xfId="0" applyNumberFormat="1" applyFont="1" applyBorder="1" applyAlignment="1">
      <alignment horizontal="right" vertical="center" wrapText="1"/>
    </xf>
    <xf numFmtId="3" fontId="237" fillId="0" borderId="1" xfId="0" applyNumberFormat="1" applyFont="1" applyBorder="1" applyAlignment="1">
      <alignment horizontal="right" vertical="center" wrapText="1"/>
    </xf>
    <xf numFmtId="4" fontId="239" fillId="0" borderId="1" xfId="0" applyNumberFormat="1" applyFont="1" applyBorder="1" applyAlignment="1">
      <alignment horizontal="right" vertical="center" wrapText="1"/>
    </xf>
    <xf numFmtId="3" fontId="238" fillId="0" borderId="1" xfId="0" applyNumberFormat="1" applyFont="1" applyBorder="1" applyAlignment="1">
      <alignment horizontal="right" vertical="center" wrapText="1"/>
    </xf>
    <xf numFmtId="3" fontId="249" fillId="0" borderId="1" xfId="0" applyNumberFormat="1" applyFont="1" applyBorder="1" applyAlignment="1">
      <alignment vertical="center"/>
    </xf>
    <xf numFmtId="3" fontId="249" fillId="0" borderId="0" xfId="0" applyNumberFormat="1" applyFont="1" applyAlignment="1">
      <alignment vertical="center"/>
    </xf>
    <xf numFmtId="3" fontId="250" fillId="0" borderId="1" xfId="0" applyNumberFormat="1" applyFont="1" applyBorder="1" applyAlignment="1">
      <alignment horizontal="center" vertical="center" wrapText="1"/>
    </xf>
    <xf numFmtId="3" fontId="250" fillId="0" borderId="1" xfId="0" applyNumberFormat="1" applyFont="1" applyBorder="1" applyAlignment="1">
      <alignment vertical="center" wrapText="1"/>
    </xf>
    <xf numFmtId="3" fontId="250" fillId="0" borderId="1" xfId="0" applyNumberFormat="1" applyFont="1" applyBorder="1" applyAlignment="1">
      <alignment horizontal="right" vertical="center" wrapText="1"/>
    </xf>
    <xf numFmtId="4" fontId="250" fillId="0" borderId="1" xfId="0" applyNumberFormat="1" applyFont="1" applyBorder="1" applyAlignment="1">
      <alignment horizontal="right" vertical="center" wrapText="1"/>
    </xf>
    <xf numFmtId="3" fontId="251" fillId="0" borderId="1" xfId="0" applyNumberFormat="1" applyFont="1" applyBorder="1" applyAlignment="1">
      <alignment vertical="center"/>
    </xf>
    <xf numFmtId="3" fontId="251" fillId="0" borderId="0" xfId="0" applyNumberFormat="1" applyFont="1" applyAlignment="1">
      <alignment vertical="center"/>
    </xf>
    <xf numFmtId="3" fontId="252" fillId="0" borderId="1" xfId="0" applyNumberFormat="1" applyFont="1" applyBorder="1" applyAlignment="1">
      <alignment horizontal="right" vertical="center" wrapText="1"/>
    </xf>
    <xf numFmtId="4" fontId="252" fillId="0" borderId="1" xfId="0" applyNumberFormat="1" applyFont="1" applyBorder="1" applyAlignment="1">
      <alignment horizontal="right" vertical="center" wrapText="1"/>
    </xf>
    <xf numFmtId="3" fontId="252" fillId="0" borderId="1" xfId="0" applyNumberFormat="1" applyFont="1" applyBorder="1" applyAlignment="1">
      <alignment vertical="center" wrapText="1"/>
    </xf>
    <xf numFmtId="3" fontId="253" fillId="0" borderId="0" xfId="0" applyNumberFormat="1" applyFont="1" applyAlignment="1">
      <alignment vertical="center"/>
    </xf>
    <xf numFmtId="3" fontId="252" fillId="0" borderId="1" xfId="0" applyNumberFormat="1" applyFont="1" applyBorder="1" applyAlignment="1">
      <alignment horizontal="center" vertical="center" wrapText="1"/>
    </xf>
    <xf numFmtId="3" fontId="253" fillId="0" borderId="1" xfId="0" applyNumberFormat="1" applyFont="1" applyBorder="1" applyAlignment="1">
      <alignment vertical="center"/>
    </xf>
    <xf numFmtId="178" fontId="252" fillId="0" borderId="1" xfId="0" applyNumberFormat="1" applyFont="1" applyBorder="1" applyAlignment="1">
      <alignment horizontal="right" vertical="center" wrapText="1"/>
    </xf>
    <xf numFmtId="178" fontId="247" fillId="0" borderId="1" xfId="0" applyNumberFormat="1" applyFont="1" applyBorder="1" applyAlignment="1">
      <alignment horizontal="right" vertical="center" wrapText="1"/>
    </xf>
    <xf numFmtId="178" fontId="248" fillId="0" borderId="1" xfId="0" applyNumberFormat="1" applyFont="1" applyBorder="1" applyAlignment="1">
      <alignment horizontal="right" vertical="center" wrapText="1"/>
    </xf>
    <xf numFmtId="178" fontId="252" fillId="0" borderId="1" xfId="0" applyNumberFormat="1" applyFont="1" applyBorder="1" applyAlignment="1">
      <alignment vertical="center" wrapText="1"/>
    </xf>
    <xf numFmtId="3" fontId="250" fillId="0" borderId="13" xfId="0" applyNumberFormat="1" applyFont="1" applyBorder="1" applyAlignment="1">
      <alignment horizontal="center" vertical="center" wrapText="1"/>
    </xf>
    <xf numFmtId="3" fontId="250" fillId="0" borderId="13" xfId="0" applyNumberFormat="1" applyFont="1" applyBorder="1" applyAlignment="1">
      <alignment vertical="center" wrapText="1"/>
    </xf>
    <xf numFmtId="178" fontId="252" fillId="0" borderId="13" xfId="0" applyNumberFormat="1" applyFont="1" applyBorder="1" applyAlignment="1">
      <alignment horizontal="right" vertical="center" wrapText="1"/>
    </xf>
    <xf numFmtId="178" fontId="247" fillId="0" borderId="13" xfId="0" applyNumberFormat="1" applyFont="1" applyBorder="1" applyAlignment="1">
      <alignment horizontal="right" vertical="center" wrapText="1"/>
    </xf>
    <xf numFmtId="4" fontId="252" fillId="0" borderId="13" xfId="0" applyNumberFormat="1" applyFont="1" applyBorder="1" applyAlignment="1">
      <alignment horizontal="right" vertical="center" wrapText="1"/>
    </xf>
    <xf numFmtId="178" fontId="248" fillId="0" borderId="13" xfId="0" applyNumberFormat="1" applyFont="1" applyBorder="1" applyAlignment="1">
      <alignment horizontal="right" vertical="center" wrapText="1"/>
    </xf>
    <xf numFmtId="178" fontId="252" fillId="0" borderId="13" xfId="0" applyNumberFormat="1" applyFont="1" applyBorder="1" applyAlignment="1">
      <alignment vertical="center" wrapText="1"/>
    </xf>
    <xf numFmtId="3" fontId="252" fillId="0" borderId="9" xfId="0" applyNumberFormat="1" applyFont="1" applyBorder="1" applyAlignment="1">
      <alignment horizontal="center" vertical="center" wrapText="1"/>
    </xf>
    <xf numFmtId="3" fontId="252" fillId="0" borderId="9" xfId="0" applyNumberFormat="1" applyFont="1" applyBorder="1" applyAlignment="1">
      <alignment vertical="center" wrapText="1"/>
    </xf>
    <xf numFmtId="3" fontId="252" fillId="0" borderId="9" xfId="0" applyNumberFormat="1" applyFont="1" applyBorder="1" applyAlignment="1">
      <alignment horizontal="right" vertical="center" wrapText="1"/>
    </xf>
    <xf numFmtId="3" fontId="247" fillId="0" borderId="9" xfId="0" applyNumberFormat="1" applyFont="1" applyBorder="1" applyAlignment="1">
      <alignment vertical="center" wrapText="1"/>
    </xf>
    <xf numFmtId="4" fontId="252" fillId="0" borderId="9" xfId="0" applyNumberFormat="1" applyFont="1" applyBorder="1" applyAlignment="1">
      <alignment vertical="center" wrapText="1"/>
    </xf>
    <xf numFmtId="3" fontId="248" fillId="0" borderId="9" xfId="0" applyNumberFormat="1" applyFont="1" applyBorder="1" applyAlignment="1">
      <alignment vertical="center" wrapText="1"/>
    </xf>
    <xf numFmtId="3" fontId="253" fillId="0" borderId="9" xfId="0" applyNumberFormat="1" applyFont="1" applyBorder="1" applyAlignment="1">
      <alignment vertical="center"/>
    </xf>
    <xf numFmtId="3" fontId="254" fillId="0" borderId="0" xfId="0" applyNumberFormat="1" applyFont="1" applyAlignment="1">
      <alignment vertical="center"/>
    </xf>
    <xf numFmtId="3" fontId="233" fillId="0" borderId="0" xfId="0" applyNumberFormat="1" applyFont="1" applyAlignment="1">
      <alignment horizontal="right" vertical="center"/>
    </xf>
    <xf numFmtId="3" fontId="235" fillId="0" borderId="11" xfId="0" applyNumberFormat="1" applyFont="1" applyBorder="1" applyAlignment="1">
      <alignment horizontal="center" vertical="center" wrapText="1"/>
    </xf>
    <xf numFmtId="3" fontId="235" fillId="0" borderId="11" xfId="0" applyNumberFormat="1" applyFont="1" applyBorder="1" applyAlignment="1">
      <alignment vertical="center" wrapText="1"/>
    </xf>
    <xf numFmtId="3" fontId="246" fillId="0" borderId="11" xfId="0" applyNumberFormat="1" applyFont="1" applyBorder="1" applyAlignment="1">
      <alignment vertical="center" wrapText="1"/>
    </xf>
    <xf numFmtId="3" fontId="247" fillId="0" borderId="11" xfId="0" applyNumberFormat="1" applyFont="1" applyBorder="1" applyAlignment="1">
      <alignment vertical="center" wrapText="1"/>
    </xf>
    <xf numFmtId="4" fontId="255" fillId="0" borderId="11" xfId="0" applyNumberFormat="1" applyFont="1" applyBorder="1" applyAlignment="1">
      <alignment vertical="center" wrapText="1"/>
    </xf>
    <xf numFmtId="3" fontId="248" fillId="0" borderId="11" xfId="0" applyNumberFormat="1" applyFont="1" applyBorder="1" applyAlignment="1">
      <alignment vertical="center" wrapText="1"/>
    </xf>
    <xf numFmtId="3" fontId="255" fillId="0" borderId="11" xfId="0" applyNumberFormat="1" applyFont="1" applyBorder="1" applyAlignment="1">
      <alignment vertical="center" wrapText="1"/>
    </xf>
    <xf numFmtId="3" fontId="256" fillId="0" borderId="1" xfId="0" applyNumberFormat="1" applyFont="1" applyBorder="1" applyAlignment="1">
      <alignment horizontal="center" vertical="center" wrapText="1"/>
    </xf>
    <xf numFmtId="3" fontId="256" fillId="0" borderId="1" xfId="0" applyNumberFormat="1" applyFont="1" applyBorder="1" applyAlignment="1">
      <alignment vertical="center" wrapText="1"/>
    </xf>
    <xf numFmtId="3" fontId="247" fillId="0" borderId="1" xfId="0" applyNumberFormat="1" applyFont="1" applyBorder="1" applyAlignment="1">
      <alignment vertical="center" wrapText="1"/>
    </xf>
    <xf numFmtId="4" fontId="246" fillId="0" borderId="1" xfId="0" applyNumberFormat="1" applyFont="1" applyBorder="1" applyAlignment="1">
      <alignment vertical="center" wrapText="1"/>
    </xf>
    <xf numFmtId="3" fontId="248" fillId="0" borderId="1" xfId="0" applyNumberFormat="1" applyFont="1" applyBorder="1" applyAlignment="1">
      <alignment vertical="center" wrapText="1"/>
    </xf>
    <xf numFmtId="3" fontId="256" fillId="0" borderId="1" xfId="0" quotePrefix="1" applyNumberFormat="1" applyFont="1" applyBorder="1" applyAlignment="1">
      <alignment horizontal="center" vertical="center" wrapText="1"/>
    </xf>
    <xf numFmtId="3" fontId="247" fillId="0" borderId="1" xfId="0" applyNumberFormat="1" applyFont="1" applyBorder="1" applyAlignment="1">
      <alignment horizontal="center" vertical="center" wrapText="1"/>
    </xf>
    <xf numFmtId="4" fontId="246" fillId="0" borderId="1" xfId="0" applyNumberFormat="1" applyFont="1" applyBorder="1" applyAlignment="1">
      <alignment horizontal="center" vertical="center" wrapText="1"/>
    </xf>
    <xf numFmtId="3" fontId="248" fillId="0" borderId="1" xfId="0" applyNumberFormat="1" applyFont="1" applyBorder="1" applyAlignment="1">
      <alignment horizontal="center" vertical="center" wrapText="1"/>
    </xf>
    <xf numFmtId="3" fontId="73" fillId="0" borderId="1" xfId="0" applyNumberFormat="1" applyFont="1" applyBorder="1" applyAlignment="1">
      <alignment vertical="center"/>
    </xf>
    <xf numFmtId="3" fontId="235" fillId="0" borderId="1" xfId="0" applyNumberFormat="1" applyFont="1" applyBorder="1" applyAlignment="1">
      <alignment horizontal="center" vertical="center" wrapText="1"/>
    </xf>
    <xf numFmtId="3" fontId="235" fillId="0" borderId="1" xfId="0" applyNumberFormat="1" applyFont="1" applyBorder="1" applyAlignment="1">
      <alignment vertical="center" wrapText="1"/>
    </xf>
    <xf numFmtId="4" fontId="255" fillId="0" borderId="1" xfId="0" applyNumberFormat="1" applyFont="1" applyBorder="1" applyAlignment="1">
      <alignment horizontal="right" vertical="center" wrapText="1"/>
    </xf>
    <xf numFmtId="3" fontId="255" fillId="0" borderId="1" xfId="0" applyNumberFormat="1" applyFont="1" applyBorder="1" applyAlignment="1">
      <alignment vertical="center" wrapText="1"/>
    </xf>
    <xf numFmtId="3" fontId="255" fillId="0" borderId="1" xfId="0" applyNumberFormat="1" applyFont="1" applyBorder="1" applyAlignment="1">
      <alignment horizontal="right" vertical="center" wrapText="1"/>
    </xf>
    <xf numFmtId="3" fontId="234" fillId="0" borderId="1" xfId="0" applyNumberFormat="1" applyFont="1" applyBorder="1" applyAlignment="1">
      <alignment horizontal="center" vertical="center" wrapText="1"/>
    </xf>
    <xf numFmtId="3" fontId="234" fillId="0" borderId="1" xfId="0" applyNumberFormat="1" applyFont="1" applyBorder="1" applyAlignment="1">
      <alignment vertical="center" wrapText="1"/>
    </xf>
    <xf numFmtId="3" fontId="243" fillId="0" borderId="1" xfId="0" applyNumberFormat="1" applyFont="1" applyBorder="1" applyAlignment="1">
      <alignment horizontal="right" vertical="center" wrapText="1"/>
    </xf>
    <xf numFmtId="3" fontId="241" fillId="0" borderId="1" xfId="0" applyNumberFormat="1" applyFont="1" applyBorder="1" applyAlignment="1">
      <alignment vertical="center" wrapText="1"/>
    </xf>
    <xf numFmtId="4" fontId="242" fillId="0" borderId="1" xfId="0" applyNumberFormat="1" applyFont="1" applyBorder="1" applyAlignment="1">
      <alignment vertical="center" wrapText="1"/>
    </xf>
    <xf numFmtId="3" fontId="242" fillId="0" borderId="1" xfId="0" applyNumberFormat="1" applyFont="1" applyBorder="1" applyAlignment="1">
      <alignment vertical="center" wrapText="1"/>
    </xf>
    <xf numFmtId="3" fontId="244" fillId="0" borderId="0" xfId="0" applyNumberFormat="1" applyFont="1" applyAlignment="1">
      <alignment vertical="center"/>
    </xf>
    <xf numFmtId="3" fontId="229" fillId="0" borderId="0" xfId="0" applyNumberFormat="1" applyFont="1" applyAlignment="1">
      <alignment vertical="center"/>
    </xf>
    <xf numFmtId="3" fontId="257" fillId="0" borderId="1" xfId="0" applyNumberFormat="1" applyFont="1" applyBorder="1" applyAlignment="1">
      <alignment horizontal="center" vertical="center" wrapText="1"/>
    </xf>
    <xf numFmtId="3" fontId="257" fillId="0" borderId="1" xfId="0" applyNumberFormat="1" applyFont="1" applyBorder="1" applyAlignment="1">
      <alignment vertical="center" wrapText="1"/>
    </xf>
    <xf numFmtId="3" fontId="258" fillId="0" borderId="1" xfId="0" applyNumberFormat="1" applyFont="1" applyBorder="1" applyAlignment="1">
      <alignment horizontal="right" vertical="center" wrapText="1"/>
    </xf>
    <xf numFmtId="3" fontId="259" fillId="0" borderId="1" xfId="0" applyNumberFormat="1" applyFont="1" applyBorder="1" applyAlignment="1">
      <alignment vertical="center" wrapText="1"/>
    </xf>
    <xf numFmtId="3" fontId="75" fillId="0" borderId="0" xfId="0" applyNumberFormat="1" applyFont="1" applyAlignment="1">
      <alignment vertical="center"/>
    </xf>
    <xf numFmtId="3" fontId="72" fillId="0" borderId="0" xfId="0" applyNumberFormat="1" applyFont="1" applyAlignment="1">
      <alignment vertical="center"/>
    </xf>
    <xf numFmtId="4" fontId="258" fillId="0" borderId="1" xfId="0" applyNumberFormat="1" applyFont="1" applyBorder="1" applyAlignment="1">
      <alignment vertical="center" wrapText="1"/>
    </xf>
    <xf numFmtId="3" fontId="260" fillId="0" borderId="1" xfId="0" applyNumberFormat="1" applyFont="1" applyBorder="1" applyAlignment="1">
      <alignment vertical="center" wrapText="1"/>
    </xf>
    <xf numFmtId="3" fontId="231" fillId="0" borderId="1" xfId="0" applyNumberFormat="1" applyFont="1" applyBorder="1" applyAlignment="1">
      <alignment vertical="center"/>
    </xf>
    <xf numFmtId="3" fontId="75" fillId="0" borderId="1" xfId="0" applyNumberFormat="1" applyFont="1" applyBorder="1" applyAlignment="1">
      <alignment vertical="center"/>
    </xf>
    <xf numFmtId="4" fontId="236" fillId="0" borderId="1" xfId="0" applyNumberFormat="1" applyFont="1" applyBorder="1" applyAlignment="1">
      <alignment horizontal="right" vertical="center" wrapText="1"/>
    </xf>
    <xf numFmtId="3" fontId="236" fillId="0" borderId="1" xfId="0" applyNumberFormat="1" applyFont="1" applyBorder="1" applyAlignment="1">
      <alignment horizontal="right" vertical="center" wrapText="1"/>
    </xf>
    <xf numFmtId="3" fontId="74" fillId="0" borderId="0" xfId="0" applyNumberFormat="1" applyFont="1" applyAlignment="1">
      <alignment vertical="center"/>
    </xf>
    <xf numFmtId="3" fontId="71" fillId="0" borderId="0" xfId="0" applyNumberFormat="1" applyFont="1" applyAlignment="1">
      <alignment vertical="center"/>
    </xf>
    <xf numFmtId="4" fontId="255" fillId="0" borderId="1" xfId="0" applyNumberFormat="1" applyFont="1" applyBorder="1" applyAlignment="1">
      <alignment vertical="center" wrapText="1"/>
    </xf>
    <xf numFmtId="178" fontId="239" fillId="0" borderId="1" xfId="0" applyNumberFormat="1" applyFont="1" applyBorder="1" applyAlignment="1">
      <alignment horizontal="right" vertical="center" wrapText="1"/>
    </xf>
    <xf numFmtId="178" fontId="237" fillId="0" borderId="1" xfId="0" applyNumberFormat="1" applyFont="1" applyBorder="1" applyAlignment="1">
      <alignment horizontal="right" vertical="center" wrapText="1"/>
    </xf>
    <xf numFmtId="178" fontId="238" fillId="0" borderId="1" xfId="0" applyNumberFormat="1" applyFont="1" applyBorder="1" applyAlignment="1">
      <alignment horizontal="right" vertical="center" wrapText="1"/>
    </xf>
    <xf numFmtId="178" fontId="236" fillId="0" borderId="1" xfId="0" applyNumberFormat="1" applyFont="1" applyBorder="1" applyAlignment="1">
      <alignment horizontal="right" vertical="center" wrapText="1"/>
    </xf>
    <xf numFmtId="178" fontId="246" fillId="0" borderId="1" xfId="0" applyNumberFormat="1" applyFont="1" applyBorder="1" applyAlignment="1">
      <alignment horizontal="right" vertical="center" wrapText="1"/>
    </xf>
    <xf numFmtId="178" fontId="247" fillId="0" borderId="1" xfId="0" applyNumberFormat="1" applyFont="1" applyBorder="1" applyAlignment="1">
      <alignment vertical="center" wrapText="1"/>
    </xf>
    <xf numFmtId="178" fontId="248" fillId="0" borderId="1" xfId="0" applyNumberFormat="1" applyFont="1" applyBorder="1" applyAlignment="1">
      <alignment vertical="center" wrapText="1"/>
    </xf>
    <xf numFmtId="178" fontId="255" fillId="0" borderId="1" xfId="0" applyNumberFormat="1" applyFont="1" applyBorder="1" applyAlignment="1">
      <alignment vertical="center" wrapText="1"/>
    </xf>
    <xf numFmtId="3" fontId="256" fillId="0" borderId="9" xfId="0" applyNumberFormat="1" applyFont="1" applyBorder="1" applyAlignment="1">
      <alignment horizontal="center" vertical="center" wrapText="1"/>
    </xf>
    <xf numFmtId="3" fontId="256" fillId="0" borderId="9" xfId="0" applyNumberFormat="1" applyFont="1" applyBorder="1" applyAlignment="1">
      <alignment vertical="center" wrapText="1"/>
    </xf>
    <xf numFmtId="3" fontId="246" fillId="0" borderId="9" xfId="0" applyNumberFormat="1" applyFont="1" applyBorder="1" applyAlignment="1">
      <alignment horizontal="right" vertical="center" wrapText="1"/>
    </xf>
    <xf numFmtId="4" fontId="246" fillId="0" borderId="9" xfId="0" applyNumberFormat="1" applyFont="1" applyBorder="1" applyAlignment="1">
      <alignment vertical="center" wrapText="1"/>
    </xf>
    <xf numFmtId="3" fontId="233" fillId="0" borderId="9" xfId="0" applyNumberFormat="1" applyFont="1" applyBorder="1" applyAlignment="1">
      <alignment vertical="center"/>
    </xf>
    <xf numFmtId="3" fontId="73" fillId="0" borderId="9" xfId="0" applyNumberFormat="1" applyFont="1" applyBorder="1" applyAlignment="1">
      <alignment vertical="center"/>
    </xf>
    <xf numFmtId="0" fontId="48" fillId="0" borderId="59" xfId="0" applyFont="1" applyBorder="1"/>
    <xf numFmtId="0" fontId="261" fillId="0" borderId="0" xfId="0" applyFont="1" applyAlignment="1">
      <alignment horizontal="right" vertical="center"/>
    </xf>
    <xf numFmtId="0" fontId="261" fillId="0" borderId="0" xfId="0" applyFont="1"/>
    <xf numFmtId="0" fontId="263" fillId="0" borderId="4" xfId="0" applyFont="1" applyBorder="1" applyAlignment="1">
      <alignment horizontal="center" vertical="center" wrapText="1"/>
    </xf>
    <xf numFmtId="0" fontId="68" fillId="0" borderId="4" xfId="0" applyFont="1" applyBorder="1" applyAlignment="1">
      <alignment horizontal="center" vertical="center" wrapText="1"/>
    </xf>
    <xf numFmtId="0" fontId="264" fillId="0" borderId="4" xfId="0" applyFont="1" applyBorder="1" applyAlignment="1">
      <alignment horizontal="center" vertical="center" wrapText="1"/>
    </xf>
    <xf numFmtId="0" fontId="68" fillId="0" borderId="8" xfId="0" applyFont="1" applyBorder="1" applyAlignment="1">
      <alignment horizontal="center" vertical="center" wrapText="1"/>
    </xf>
    <xf numFmtId="0" fontId="261" fillId="0" borderId="4" xfId="0" applyFont="1" applyBorder="1" applyAlignment="1">
      <alignment horizontal="center" vertical="center" wrapText="1"/>
    </xf>
    <xf numFmtId="0" fontId="265" fillId="0" borderId="4" xfId="0" applyFont="1" applyBorder="1" applyAlignment="1">
      <alignment horizontal="center" vertical="center" wrapText="1"/>
    </xf>
    <xf numFmtId="0" fontId="266" fillId="0" borderId="4" xfId="0" applyFont="1" applyBorder="1" applyAlignment="1">
      <alignment horizontal="center" vertical="center" wrapText="1"/>
    </xf>
    <xf numFmtId="0" fontId="261" fillId="0" borderId="6" xfId="0" applyFont="1" applyBorder="1" applyAlignment="1">
      <alignment horizontal="center" vertical="center" wrapText="1"/>
    </xf>
    <xf numFmtId="4" fontId="68" fillId="0" borderId="6" xfId="0" applyNumberFormat="1" applyFont="1" applyBorder="1" applyAlignment="1">
      <alignment horizontal="center" vertical="center" wrapText="1"/>
    </xf>
    <xf numFmtId="0" fontId="265" fillId="0" borderId="6" xfId="0" applyFont="1" applyBorder="1" applyAlignment="1">
      <alignment horizontal="center" vertical="center" wrapText="1"/>
    </xf>
    <xf numFmtId="187" fontId="261" fillId="0" borderId="6" xfId="29" applyNumberFormat="1" applyFont="1" applyFill="1" applyBorder="1" applyAlignment="1">
      <alignment horizontal="center" vertical="center" wrapText="1"/>
    </xf>
    <xf numFmtId="0" fontId="266" fillId="0" borderId="6" xfId="0" applyFont="1" applyBorder="1" applyAlignment="1">
      <alignment horizontal="center" vertical="center" wrapText="1"/>
    </xf>
    <xf numFmtId="0" fontId="261" fillId="0" borderId="6" xfId="0" applyFont="1" applyBorder="1"/>
    <xf numFmtId="0" fontId="68" fillId="0" borderId="1" xfId="0" applyFont="1" applyBorder="1" applyAlignment="1">
      <alignment horizontal="center" vertical="center" wrapText="1"/>
    </xf>
    <xf numFmtId="4" fontId="68" fillId="0" borderId="1" xfId="0" applyNumberFormat="1" applyFont="1" applyBorder="1" applyAlignment="1">
      <alignment horizontal="left" vertical="center" wrapText="1"/>
    </xf>
    <xf numFmtId="4" fontId="68" fillId="0" borderId="1" xfId="0" applyNumberFormat="1" applyFont="1" applyBorder="1" applyAlignment="1">
      <alignment horizontal="center" vertical="center" wrapText="1"/>
    </xf>
    <xf numFmtId="4" fontId="68" fillId="0" borderId="1" xfId="0" applyNumberFormat="1" applyFont="1" applyBorder="1" applyAlignment="1">
      <alignment horizontal="right" vertical="center" wrapText="1"/>
    </xf>
    <xf numFmtId="4" fontId="264" fillId="0" borderId="1" xfId="0" applyNumberFormat="1" applyFont="1" applyBorder="1" applyAlignment="1">
      <alignment horizontal="right" vertical="center" wrapText="1"/>
    </xf>
    <xf numFmtId="187" fontId="68" fillId="0" borderId="1" xfId="29" applyNumberFormat="1" applyFont="1" applyFill="1" applyBorder="1" applyAlignment="1">
      <alignment horizontal="right" vertical="center" wrapText="1"/>
    </xf>
    <xf numFmtId="4" fontId="263" fillId="0" borderId="1" xfId="0" applyNumberFormat="1" applyFont="1" applyBorder="1" applyAlignment="1">
      <alignment horizontal="right" vertical="center" wrapText="1"/>
    </xf>
    <xf numFmtId="3" fontId="261" fillId="0" borderId="0" xfId="0" applyNumberFormat="1" applyFont="1"/>
    <xf numFmtId="0" fontId="68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vertical="center" wrapText="1"/>
    </xf>
    <xf numFmtId="4" fontId="68" fillId="0" borderId="1" xfId="0" applyNumberFormat="1" applyFont="1" applyFill="1" applyBorder="1" applyAlignment="1">
      <alignment horizontal="center" vertical="center" wrapText="1"/>
    </xf>
    <xf numFmtId="188" fontId="68" fillId="0" borderId="1" xfId="29" applyNumberFormat="1" applyFont="1" applyFill="1" applyBorder="1" applyAlignment="1">
      <alignment horizontal="right" vertical="center" wrapText="1"/>
    </xf>
    <xf numFmtId="188" fontId="264" fillId="0" borderId="1" xfId="29" applyNumberFormat="1" applyFont="1" applyFill="1" applyBorder="1" applyAlignment="1">
      <alignment horizontal="right" vertical="center" wrapText="1"/>
    </xf>
    <xf numFmtId="188" fontId="263" fillId="0" borderId="1" xfId="29" applyNumberFormat="1" applyFont="1" applyFill="1" applyBorder="1" applyAlignment="1">
      <alignment horizontal="right" vertical="center" wrapText="1"/>
    </xf>
    <xf numFmtId="0" fontId="68" fillId="0" borderId="1" xfId="0" applyFont="1" applyFill="1" applyBorder="1"/>
    <xf numFmtId="0" fontId="68" fillId="0" borderId="0" xfId="0" applyFont="1" applyFill="1"/>
    <xf numFmtId="3" fontId="68" fillId="0" borderId="0" xfId="0" applyNumberFormat="1" applyFont="1" applyFill="1"/>
    <xf numFmtId="0" fontId="261" fillId="0" borderId="1" xfId="0" quotePrefix="1" applyFont="1" applyFill="1" applyBorder="1" applyAlignment="1">
      <alignment horizontal="center" vertical="center" wrapText="1"/>
    </xf>
    <xf numFmtId="0" fontId="261" fillId="0" borderId="1" xfId="0" applyFont="1" applyFill="1" applyBorder="1" applyAlignment="1">
      <alignment vertical="center" wrapText="1"/>
    </xf>
    <xf numFmtId="4" fontId="261" fillId="0" borderId="1" xfId="0" applyNumberFormat="1" applyFont="1" applyFill="1" applyBorder="1" applyAlignment="1">
      <alignment horizontal="center" vertical="center" wrapText="1"/>
    </xf>
    <xf numFmtId="188" fontId="261" fillId="0" borderId="1" xfId="29" applyNumberFormat="1" applyFont="1" applyFill="1" applyBorder="1" applyAlignment="1">
      <alignment horizontal="right" vertical="center" wrapText="1"/>
    </xf>
    <xf numFmtId="188" fontId="265" fillId="0" borderId="1" xfId="29" applyNumberFormat="1" applyFont="1" applyFill="1" applyBorder="1" applyAlignment="1">
      <alignment horizontal="right" vertical="center" wrapText="1"/>
    </xf>
    <xf numFmtId="187" fontId="261" fillId="0" borderId="1" xfId="29" applyNumberFormat="1" applyFont="1" applyFill="1" applyBorder="1" applyAlignment="1">
      <alignment horizontal="right" vertical="center" wrapText="1"/>
    </xf>
    <xf numFmtId="188" fontId="266" fillId="0" borderId="1" xfId="29" applyNumberFormat="1" applyFont="1" applyFill="1" applyBorder="1" applyAlignment="1">
      <alignment horizontal="right" vertical="center" wrapText="1"/>
    </xf>
    <xf numFmtId="0" fontId="261" fillId="0" borderId="1" xfId="0" applyFont="1" applyFill="1" applyBorder="1"/>
    <xf numFmtId="0" fontId="261" fillId="0" borderId="0" xfId="0" applyFont="1" applyFill="1" applyAlignment="1">
      <alignment horizontal="right" vertical="center"/>
    </xf>
    <xf numFmtId="3" fontId="261" fillId="0" borderId="0" xfId="0" applyNumberFormat="1" applyFont="1" applyFill="1"/>
    <xf numFmtId="0" fontId="261" fillId="0" borderId="0" xfId="0" applyFont="1" applyFill="1"/>
    <xf numFmtId="0" fontId="262" fillId="0" borderId="1" xfId="0" applyFont="1" applyFill="1" applyBorder="1" applyAlignment="1">
      <alignment vertical="center" wrapText="1"/>
    </xf>
    <xf numFmtId="4" fontId="262" fillId="0" borderId="1" xfId="0" applyNumberFormat="1" applyFont="1" applyFill="1" applyBorder="1" applyAlignment="1">
      <alignment horizontal="center" vertical="center" wrapText="1"/>
    </xf>
    <xf numFmtId="188" fontId="262" fillId="0" borderId="1" xfId="29" applyNumberFormat="1" applyFont="1" applyFill="1" applyBorder="1" applyAlignment="1">
      <alignment horizontal="right" vertical="center" wrapText="1"/>
    </xf>
    <xf numFmtId="188" fontId="267" fillId="0" borderId="1" xfId="29" applyNumberFormat="1" applyFont="1" applyFill="1" applyBorder="1" applyAlignment="1">
      <alignment horizontal="right" vertical="center" wrapText="1"/>
    </xf>
    <xf numFmtId="188" fontId="268" fillId="0" borderId="1" xfId="29" applyNumberFormat="1" applyFont="1" applyFill="1" applyBorder="1" applyAlignment="1">
      <alignment horizontal="right" vertical="center" wrapText="1"/>
    </xf>
    <xf numFmtId="0" fontId="262" fillId="0" borderId="1" xfId="0" applyFont="1" applyFill="1" applyBorder="1"/>
    <xf numFmtId="0" fontId="262" fillId="0" borderId="0" xfId="0" applyFont="1" applyFill="1" applyAlignment="1">
      <alignment horizontal="right" vertical="center"/>
    </xf>
    <xf numFmtId="3" fontId="262" fillId="0" borderId="0" xfId="0" applyNumberFormat="1" applyFont="1" applyFill="1"/>
    <xf numFmtId="0" fontId="262" fillId="0" borderId="0" xfId="0" applyFont="1" applyFill="1"/>
    <xf numFmtId="0" fontId="68" fillId="0" borderId="0" xfId="0" applyFont="1" applyFill="1" applyAlignment="1">
      <alignment horizontal="right" vertical="center"/>
    </xf>
    <xf numFmtId="0" fontId="265" fillId="0" borderId="0" xfId="0" applyFont="1" applyFill="1" applyAlignment="1">
      <alignment horizontal="right" vertical="center"/>
    </xf>
    <xf numFmtId="0" fontId="269" fillId="0" borderId="0" xfId="0" applyFont="1" applyFill="1"/>
    <xf numFmtId="0" fontId="68" fillId="0" borderId="1" xfId="0" quotePrefix="1" applyFont="1" applyBorder="1" applyAlignment="1">
      <alignment horizontal="center" vertical="center" wrapText="1"/>
    </xf>
    <xf numFmtId="0" fontId="68" fillId="0" borderId="1" xfId="0" applyFont="1" applyBorder="1" applyAlignment="1">
      <alignment vertical="center" wrapText="1"/>
    </xf>
    <xf numFmtId="0" fontId="270" fillId="0" borderId="1" xfId="0" applyFont="1" applyBorder="1" applyAlignment="1">
      <alignment horizontal="center" vertical="center" wrapText="1"/>
    </xf>
    <xf numFmtId="3" fontId="265" fillId="0" borderId="0" xfId="0" applyNumberFormat="1" applyFont="1" applyAlignment="1">
      <alignment horizontal="right" vertical="center"/>
    </xf>
    <xf numFmtId="0" fontId="269" fillId="0" borderId="0" xfId="0" applyFont="1"/>
    <xf numFmtId="0" fontId="261" fillId="0" borderId="1" xfId="0" applyFont="1" applyBorder="1" applyAlignment="1">
      <alignment horizontal="center" vertical="center" wrapText="1"/>
    </xf>
    <xf numFmtId="0" fontId="261" fillId="0" borderId="1" xfId="0" applyFont="1" applyBorder="1" applyAlignment="1">
      <alignment vertical="center" wrapText="1"/>
    </xf>
    <xf numFmtId="188" fontId="261" fillId="6" borderId="1" xfId="29" applyNumberFormat="1" applyFont="1" applyFill="1" applyBorder="1" applyAlignment="1">
      <alignment horizontal="right" vertical="center" wrapText="1"/>
    </xf>
    <xf numFmtId="188" fontId="265" fillId="6" borderId="1" xfId="29" applyNumberFormat="1" applyFont="1" applyFill="1" applyBorder="1" applyAlignment="1">
      <alignment horizontal="right" vertical="center" wrapText="1"/>
    </xf>
    <xf numFmtId="188" fontId="266" fillId="6" borderId="1" xfId="29" applyNumberFormat="1" applyFont="1" applyFill="1" applyBorder="1" applyAlignment="1">
      <alignment horizontal="right" vertical="center" wrapText="1"/>
    </xf>
    <xf numFmtId="0" fontId="261" fillId="0" borderId="1" xfId="0" applyFont="1" applyBorder="1"/>
    <xf numFmtId="3" fontId="264" fillId="0" borderId="0" xfId="0" applyNumberFormat="1" applyFont="1" applyAlignment="1">
      <alignment horizontal="right" vertical="center"/>
    </xf>
    <xf numFmtId="4" fontId="271" fillId="0" borderId="0" xfId="0" applyNumberFormat="1" applyFont="1" applyAlignment="1">
      <alignment horizontal="right" vertical="center"/>
    </xf>
    <xf numFmtId="188" fontId="68" fillId="6" borderId="1" xfId="29" applyNumberFormat="1" applyFont="1" applyFill="1" applyBorder="1" applyAlignment="1">
      <alignment horizontal="right" vertical="center" wrapText="1"/>
    </xf>
    <xf numFmtId="188" fontId="264" fillId="6" borderId="1" xfId="29" applyNumberFormat="1" applyFont="1" applyFill="1" applyBorder="1" applyAlignment="1">
      <alignment horizontal="right" vertical="center" wrapText="1"/>
    </xf>
    <xf numFmtId="188" fontId="263" fillId="6" borderId="1" xfId="29" applyNumberFormat="1" applyFont="1" applyFill="1" applyBorder="1" applyAlignment="1">
      <alignment horizontal="right" vertical="center" wrapText="1"/>
    </xf>
    <xf numFmtId="0" fontId="68" fillId="0" borderId="1" xfId="0" applyFont="1" applyBorder="1"/>
    <xf numFmtId="3" fontId="264" fillId="0" borderId="0" xfId="0" applyNumberFormat="1" applyFont="1"/>
    <xf numFmtId="39" fontId="271" fillId="0" borderId="0" xfId="0" applyNumberFormat="1" applyFont="1"/>
    <xf numFmtId="0" fontId="68" fillId="0" borderId="0" xfId="0" applyFont="1"/>
    <xf numFmtId="0" fontId="271" fillId="0" borderId="0" xfId="0" applyFont="1"/>
    <xf numFmtId="0" fontId="265" fillId="0" borderId="0" xfId="0" applyFont="1" applyAlignment="1">
      <alignment horizontal="right" vertical="center"/>
    </xf>
    <xf numFmtId="0" fontId="261" fillId="0" borderId="1" xfId="0" quotePrefix="1" applyFont="1" applyBorder="1" applyAlignment="1">
      <alignment horizontal="center" vertical="center" wrapText="1"/>
    </xf>
    <xf numFmtId="0" fontId="262" fillId="0" borderId="1" xfId="0" applyFont="1" applyBorder="1" applyAlignment="1">
      <alignment vertical="center" wrapText="1"/>
    </xf>
    <xf numFmtId="0" fontId="68" fillId="0" borderId="1" xfId="0" quotePrefix="1" applyFont="1" applyBorder="1" applyAlignment="1">
      <alignment vertical="center" wrapText="1"/>
    </xf>
    <xf numFmtId="0" fontId="68" fillId="0" borderId="0" xfId="0" applyFont="1" applyAlignment="1">
      <alignment horizontal="right" vertical="center"/>
    </xf>
    <xf numFmtId="0" fontId="261" fillId="0" borderId="1" xfId="0" quotePrefix="1" applyFont="1" applyBorder="1" applyAlignment="1">
      <alignment vertical="center" wrapText="1"/>
    </xf>
    <xf numFmtId="187" fontId="261" fillId="6" borderId="1" xfId="29" applyNumberFormat="1" applyFont="1" applyFill="1" applyBorder="1" applyAlignment="1">
      <alignment horizontal="right" vertical="center" wrapText="1"/>
    </xf>
    <xf numFmtId="187" fontId="265" fillId="6" borderId="1" xfId="29" applyNumberFormat="1" applyFont="1" applyFill="1" applyBorder="1" applyAlignment="1">
      <alignment horizontal="right" vertical="center" wrapText="1"/>
    </xf>
    <xf numFmtId="187" fontId="266" fillId="6" borderId="1" xfId="29" applyNumberFormat="1" applyFont="1" applyFill="1" applyBorder="1" applyAlignment="1">
      <alignment horizontal="right" vertical="center" wrapText="1"/>
    </xf>
    <xf numFmtId="0" fontId="68" fillId="0" borderId="1" xfId="0" quotePrefix="1" applyFont="1" applyBorder="1" applyAlignment="1">
      <alignment horizontal="left" vertical="center" wrapText="1" indent="2"/>
    </xf>
    <xf numFmtId="0" fontId="261" fillId="0" borderId="1" xfId="0" quotePrefix="1" applyFont="1" applyBorder="1" applyAlignment="1">
      <alignment horizontal="left" vertical="center" wrapText="1" indent="2"/>
    </xf>
    <xf numFmtId="0" fontId="261" fillId="0" borderId="1" xfId="0" applyFont="1" applyBorder="1" applyAlignment="1">
      <alignment horizontal="left" vertical="center" wrapText="1" indent="2"/>
    </xf>
    <xf numFmtId="0" fontId="68" fillId="0" borderId="1" xfId="0" quotePrefix="1" applyFont="1" applyBorder="1" applyAlignment="1">
      <alignment horizontal="left" vertical="center" wrapText="1" indent="4"/>
    </xf>
    <xf numFmtId="0" fontId="261" fillId="0" borderId="1" xfId="0" applyFont="1" applyBorder="1" applyAlignment="1">
      <alignment horizontal="left" vertical="center" wrapText="1" indent="4"/>
    </xf>
    <xf numFmtId="0" fontId="68" fillId="0" borderId="1" xfId="0" quotePrefix="1" applyFont="1" applyBorder="1" applyAlignment="1">
      <alignment horizontal="left" vertical="center" wrapText="1"/>
    </xf>
    <xf numFmtId="187" fontId="263" fillId="6" borderId="1" xfId="29" applyNumberFormat="1" applyFont="1" applyFill="1" applyBorder="1" applyAlignment="1">
      <alignment horizontal="right" vertical="center" wrapText="1"/>
    </xf>
    <xf numFmtId="0" fontId="262" fillId="0" borderId="1" xfId="0" quotePrefix="1" applyFont="1" applyBorder="1" applyAlignment="1">
      <alignment horizontal="center" vertical="center" wrapText="1"/>
    </xf>
    <xf numFmtId="0" fontId="269" fillId="0" borderId="0" xfId="0" applyFont="1" applyAlignment="1">
      <alignment horizontal="right" vertical="center"/>
    </xf>
    <xf numFmtId="223" fontId="265" fillId="6" borderId="1" xfId="29" applyNumberFormat="1" applyFont="1" applyFill="1" applyBorder="1" applyAlignment="1">
      <alignment horizontal="right" vertical="center" wrapText="1"/>
    </xf>
    <xf numFmtId="223" fontId="266" fillId="6" borderId="1" xfId="29" applyNumberFormat="1" applyFont="1" applyFill="1" applyBorder="1" applyAlignment="1">
      <alignment horizontal="right" vertical="center" wrapText="1"/>
    </xf>
    <xf numFmtId="4" fontId="269" fillId="0" borderId="0" xfId="0" applyNumberFormat="1" applyFont="1"/>
    <xf numFmtId="0" fontId="271" fillId="0" borderId="0" xfId="0" applyFont="1" applyAlignment="1">
      <alignment horizontal="right" vertical="center"/>
    </xf>
    <xf numFmtId="4" fontId="271" fillId="0" borderId="0" xfId="0" applyNumberFormat="1" applyFont="1"/>
    <xf numFmtId="0" fontId="270" fillId="0" borderId="1" xfId="0" applyFont="1" applyBorder="1" applyAlignment="1">
      <alignment vertical="center" wrapText="1"/>
    </xf>
    <xf numFmtId="188" fontId="68" fillId="0" borderId="0" xfId="0" applyNumberFormat="1" applyFont="1" applyAlignment="1">
      <alignment horizontal="right" vertical="center"/>
    </xf>
    <xf numFmtId="188" fontId="266" fillId="6" borderId="1" xfId="29" applyNumberFormat="1" applyFont="1" applyFill="1" applyBorder="1" applyAlignment="1">
      <alignment horizontal="center" vertical="center" wrapText="1"/>
    </xf>
    <xf numFmtId="188" fontId="261" fillId="0" borderId="0" xfId="0" applyNumberFormat="1" applyFont="1" applyAlignment="1">
      <alignment horizontal="right" vertical="center"/>
    </xf>
    <xf numFmtId="0" fontId="266" fillId="0" borderId="1" xfId="100" applyFont="1" applyBorder="1" applyAlignment="1">
      <alignment vertical="center" wrapText="1"/>
    </xf>
    <xf numFmtId="0" fontId="266" fillId="0" borderId="1" xfId="100" applyFont="1" applyBorder="1" applyAlignment="1">
      <alignment horizontal="center" vertical="center" wrapText="1"/>
    </xf>
    <xf numFmtId="0" fontId="68" fillId="0" borderId="1" xfId="100" applyFont="1" applyBorder="1" applyAlignment="1">
      <alignment horizontal="center" vertical="center" wrapText="1"/>
    </xf>
    <xf numFmtId="0" fontId="68" fillId="0" borderId="1" xfId="100" applyFont="1" applyBorder="1" applyAlignment="1">
      <alignment vertical="center" wrapText="1"/>
    </xf>
    <xf numFmtId="0" fontId="261" fillId="0" borderId="1" xfId="100" applyFont="1" applyBorder="1" applyAlignment="1">
      <alignment vertical="center" wrapText="1"/>
    </xf>
    <xf numFmtId="0" fontId="261" fillId="0" borderId="1" xfId="100" applyFont="1" applyBorder="1" applyAlignment="1">
      <alignment horizontal="center" vertical="center" wrapText="1"/>
    </xf>
    <xf numFmtId="0" fontId="261" fillId="6" borderId="1" xfId="100" applyFont="1" applyFill="1" applyBorder="1" applyAlignment="1">
      <alignment vertical="center" wrapText="1"/>
    </xf>
    <xf numFmtId="0" fontId="261" fillId="6" borderId="1" xfId="100" applyFont="1" applyFill="1" applyBorder="1" applyAlignment="1">
      <alignment horizontal="center" vertical="center" wrapText="1"/>
    </xf>
    <xf numFmtId="0" fontId="261" fillId="0" borderId="1" xfId="0" applyFont="1" applyBorder="1" applyAlignment="1">
      <alignment horizontal="left" vertical="center" wrapText="1"/>
    </xf>
    <xf numFmtId="0" fontId="68" fillId="0" borderId="1" xfId="0" applyFont="1" applyBorder="1" applyAlignment="1">
      <alignment horizontal="left" vertical="center" wrapText="1"/>
    </xf>
    <xf numFmtId="0" fontId="68" fillId="6" borderId="1" xfId="0" applyFont="1" applyFill="1" applyBorder="1" applyAlignment="1">
      <alignment vertical="center"/>
    </xf>
    <xf numFmtId="0" fontId="68" fillId="6" borderId="1" xfId="0" applyFont="1" applyFill="1" applyBorder="1" applyAlignment="1">
      <alignment horizontal="right" vertical="center" wrapText="1"/>
    </xf>
    <xf numFmtId="0" fontId="264" fillId="6" borderId="1" xfId="0" applyFont="1" applyFill="1" applyBorder="1" applyAlignment="1">
      <alignment vertical="center"/>
    </xf>
    <xf numFmtId="0" fontId="263" fillId="6" borderId="1" xfId="0" applyFont="1" applyFill="1" applyBorder="1" applyAlignment="1">
      <alignment horizontal="right" vertical="center" wrapText="1"/>
    </xf>
    <xf numFmtId="188" fontId="261" fillId="0" borderId="1" xfId="39" applyNumberFormat="1" applyFont="1" applyFill="1" applyBorder="1" applyAlignment="1">
      <alignment horizontal="right" vertical="center" wrapText="1"/>
    </xf>
    <xf numFmtId="188" fontId="265" fillId="0" borderId="1" xfId="39" applyNumberFormat="1" applyFont="1" applyFill="1" applyBorder="1" applyAlignment="1">
      <alignment horizontal="right" vertical="center" wrapText="1"/>
    </xf>
    <xf numFmtId="188" fontId="266" fillId="0" borderId="1" xfId="39" applyNumberFormat="1" applyFont="1" applyFill="1" applyBorder="1" applyAlignment="1">
      <alignment horizontal="right" vertical="center" wrapText="1"/>
    </xf>
    <xf numFmtId="0" fontId="261" fillId="0" borderId="1" xfId="0" applyFont="1" applyBorder="1" applyAlignment="1">
      <alignment horizontal="right" vertical="center" wrapText="1"/>
    </xf>
    <xf numFmtId="0" fontId="265" fillId="0" borderId="1" xfId="0" applyFont="1" applyBorder="1" applyAlignment="1">
      <alignment vertical="center"/>
    </xf>
    <xf numFmtId="0" fontId="266" fillId="0" borderId="1" xfId="0" applyFont="1" applyBorder="1" applyAlignment="1">
      <alignment horizontal="right" vertical="center" wrapText="1"/>
    </xf>
    <xf numFmtId="0" fontId="265" fillId="0" borderId="1" xfId="0" applyFont="1" applyBorder="1" applyAlignment="1">
      <alignment horizontal="right" vertical="center"/>
    </xf>
    <xf numFmtId="188" fontId="266" fillId="0" borderId="1" xfId="39" applyNumberFormat="1" applyFont="1" applyFill="1" applyBorder="1" applyAlignment="1">
      <alignment horizontal="center" vertical="center" wrapText="1"/>
    </xf>
    <xf numFmtId="0" fontId="68" fillId="0" borderId="1" xfId="0" applyFont="1" applyBorder="1" applyAlignment="1">
      <alignment vertical="center"/>
    </xf>
    <xf numFmtId="0" fontId="264" fillId="0" borderId="1" xfId="0" applyFont="1" applyBorder="1" applyAlignment="1">
      <alignment vertical="center"/>
    </xf>
    <xf numFmtId="0" fontId="261" fillId="0" borderId="1" xfId="0" applyFont="1" applyBorder="1" applyAlignment="1">
      <alignment vertical="center"/>
    </xf>
    <xf numFmtId="0" fontId="261" fillId="6" borderId="1" xfId="0" applyFont="1" applyFill="1" applyBorder="1" applyAlignment="1">
      <alignment horizontal="right" vertical="center"/>
    </xf>
    <xf numFmtId="188" fontId="266" fillId="6" borderId="1" xfId="0" applyNumberFormat="1" applyFont="1" applyFill="1" applyBorder="1" applyAlignment="1">
      <alignment horizontal="right" vertical="center"/>
    </xf>
    <xf numFmtId="0" fontId="68" fillId="0" borderId="1" xfId="0" applyFont="1" applyBorder="1" applyAlignment="1">
      <alignment horizontal="right" vertical="center" wrapText="1"/>
    </xf>
    <xf numFmtId="0" fontId="263" fillId="0" borderId="1" xfId="0" applyFont="1" applyBorder="1" applyAlignment="1">
      <alignment horizontal="right" vertical="center" wrapText="1"/>
    </xf>
    <xf numFmtId="4" fontId="261" fillId="0" borderId="1" xfId="0" applyNumberFormat="1" applyFont="1" applyBorder="1" applyAlignment="1">
      <alignment horizontal="center" vertical="center" wrapText="1"/>
    </xf>
    <xf numFmtId="2" fontId="261" fillId="0" borderId="1" xfId="0" applyNumberFormat="1" applyFont="1" applyBorder="1" applyAlignment="1">
      <alignment horizontal="right" vertical="center" wrapText="1"/>
    </xf>
    <xf numFmtId="2" fontId="265" fillId="0" borderId="1" xfId="0" applyNumberFormat="1" applyFont="1" applyBorder="1" applyAlignment="1">
      <alignment horizontal="right" vertical="center" wrapText="1"/>
    </xf>
    <xf numFmtId="2" fontId="266" fillId="0" borderId="1" xfId="0" applyNumberFormat="1" applyFont="1" applyBorder="1" applyAlignment="1">
      <alignment horizontal="right" vertical="center" wrapText="1"/>
    </xf>
    <xf numFmtId="0" fontId="266" fillId="0" borderId="1" xfId="0" quotePrefix="1" applyFont="1" applyBorder="1" applyAlignment="1">
      <alignment horizontal="center" vertical="center" wrapText="1"/>
    </xf>
    <xf numFmtId="0" fontId="266" fillId="0" borderId="1" xfId="0" applyFont="1" applyBorder="1" applyAlignment="1">
      <alignment vertical="center" wrapText="1"/>
    </xf>
    <xf numFmtId="0" fontId="266" fillId="0" borderId="1" xfId="0" applyFont="1" applyBorder="1" applyAlignment="1">
      <alignment horizontal="center" vertical="center" wrapText="1"/>
    </xf>
    <xf numFmtId="0" fontId="266" fillId="0" borderId="1" xfId="0" applyFont="1" applyBorder="1" applyAlignment="1">
      <alignment vertical="center"/>
    </xf>
    <xf numFmtId="43" fontId="266" fillId="0" borderId="1" xfId="29" applyFont="1" applyFill="1" applyBorder="1" applyAlignment="1">
      <alignment horizontal="right" vertical="center" wrapText="1"/>
    </xf>
    <xf numFmtId="0" fontId="266" fillId="0" borderId="1" xfId="0" applyFont="1" applyFill="1" applyBorder="1" applyAlignment="1">
      <alignment vertical="center"/>
    </xf>
    <xf numFmtId="187" fontId="266" fillId="0" borderId="1" xfId="29" applyNumberFormat="1" applyFont="1" applyFill="1" applyBorder="1" applyAlignment="1">
      <alignment horizontal="right" vertical="center" wrapText="1"/>
    </xf>
    <xf numFmtId="43" fontId="265" fillId="0" borderId="1" xfId="29" applyFont="1" applyFill="1" applyBorder="1" applyAlignment="1">
      <alignment horizontal="right" vertical="center" wrapText="1"/>
    </xf>
    <xf numFmtId="0" fontId="266" fillId="0" borderId="1" xfId="0" applyFont="1" applyBorder="1"/>
    <xf numFmtId="0" fontId="265" fillId="0" borderId="1" xfId="0" applyFont="1" applyFill="1" applyBorder="1" applyAlignment="1">
      <alignment vertical="center" wrapText="1"/>
    </xf>
    <xf numFmtId="0" fontId="261" fillId="0" borderId="1" xfId="103" quotePrefix="1" applyFont="1" applyBorder="1" applyAlignment="1">
      <alignment vertical="center" wrapText="1"/>
    </xf>
    <xf numFmtId="2" fontId="261" fillId="0" borderId="1" xfId="0" applyNumberFormat="1" applyFont="1" applyBorder="1" applyAlignment="1">
      <alignment horizontal="right" vertical="center"/>
    </xf>
    <xf numFmtId="2" fontId="265" fillId="0" borderId="1" xfId="0" applyNumberFormat="1" applyFont="1" applyBorder="1" applyAlignment="1">
      <alignment horizontal="right" vertical="center"/>
    </xf>
    <xf numFmtId="2" fontId="266" fillId="0" borderId="1" xfId="0" applyNumberFormat="1" applyFont="1" applyBorder="1" applyAlignment="1">
      <alignment horizontal="right" vertical="center"/>
    </xf>
    <xf numFmtId="0" fontId="265" fillId="0" borderId="1" xfId="0" applyFont="1" applyBorder="1"/>
    <xf numFmtId="43" fontId="261" fillId="0" borderId="0" xfId="0" applyNumberFormat="1" applyFont="1" applyAlignment="1">
      <alignment horizontal="right" vertical="center"/>
    </xf>
    <xf numFmtId="3" fontId="265" fillId="0" borderId="1" xfId="0" applyNumberFormat="1" applyFont="1" applyBorder="1" applyAlignment="1">
      <alignment vertical="center"/>
    </xf>
    <xf numFmtId="0" fontId="266" fillId="0" borderId="0" xfId="0" applyFont="1" applyAlignment="1">
      <alignment horizontal="right" vertical="center"/>
    </xf>
    <xf numFmtId="0" fontId="266" fillId="0" borderId="0" xfId="0" applyFont="1"/>
    <xf numFmtId="179" fontId="261" fillId="0" borderId="1" xfId="0" applyNumberFormat="1" applyFont="1" applyBorder="1" applyAlignment="1">
      <alignment horizontal="right" vertical="center" wrapText="1"/>
    </xf>
    <xf numFmtId="179" fontId="266" fillId="0" borderId="1" xfId="0" applyNumberFormat="1" applyFont="1" applyBorder="1" applyAlignment="1">
      <alignment horizontal="right" vertical="center" wrapText="1"/>
    </xf>
    <xf numFmtId="49" fontId="261" fillId="0" borderId="1" xfId="0" applyNumberFormat="1" applyFont="1" applyBorder="1" applyAlignment="1">
      <alignment vertical="center"/>
    </xf>
    <xf numFmtId="204" fontId="261" fillId="0" borderId="1" xfId="42" applyNumberFormat="1" applyFont="1" applyFill="1" applyBorder="1" applyAlignment="1">
      <alignment horizontal="right" vertical="center" wrapText="1"/>
    </xf>
    <xf numFmtId="204" fontId="266" fillId="0" borderId="1" xfId="42" applyNumberFormat="1" applyFont="1" applyFill="1" applyBorder="1" applyAlignment="1">
      <alignment horizontal="right" vertical="center" wrapText="1"/>
    </xf>
    <xf numFmtId="179" fontId="261" fillId="0" borderId="0" xfId="0" applyNumberFormat="1" applyFont="1"/>
    <xf numFmtId="0" fontId="261" fillId="0" borderId="1" xfId="0" applyFont="1" applyFill="1" applyBorder="1" applyAlignment="1">
      <alignment horizontal="center" vertical="center" wrapText="1"/>
    </xf>
    <xf numFmtId="3" fontId="265" fillId="0" borderId="1" xfId="0" applyNumberFormat="1" applyFont="1" applyFill="1" applyBorder="1" applyAlignment="1">
      <alignment horizontal="right" vertical="center" wrapText="1"/>
    </xf>
    <xf numFmtId="3" fontId="261" fillId="0" borderId="1" xfId="0" applyNumberFormat="1" applyFont="1" applyFill="1" applyBorder="1" applyAlignment="1">
      <alignment horizontal="right" vertical="center" wrapText="1"/>
    </xf>
    <xf numFmtId="0" fontId="262" fillId="0" borderId="1" xfId="0" quotePrefix="1" applyFont="1" applyFill="1" applyBorder="1" applyAlignment="1">
      <alignment vertical="center" wrapText="1"/>
    </xf>
    <xf numFmtId="0" fontId="261" fillId="0" borderId="1" xfId="0" quotePrefix="1" applyFont="1" applyFill="1" applyBorder="1" applyAlignment="1">
      <alignment vertical="center" wrapText="1"/>
    </xf>
    <xf numFmtId="179" fontId="261" fillId="0" borderId="1" xfId="0" applyNumberFormat="1" applyFont="1" applyFill="1" applyBorder="1" applyAlignment="1">
      <alignment horizontal="right" vertical="center" wrapText="1"/>
    </xf>
    <xf numFmtId="2" fontId="265" fillId="0" borderId="1" xfId="0" applyNumberFormat="1" applyFont="1" applyFill="1" applyBorder="1" applyAlignment="1">
      <alignment horizontal="right" vertical="center" wrapText="1"/>
    </xf>
    <xf numFmtId="2" fontId="261" fillId="0" borderId="1" xfId="0" applyNumberFormat="1" applyFont="1" applyFill="1" applyBorder="1" applyAlignment="1">
      <alignment horizontal="right" vertical="center" wrapText="1"/>
    </xf>
    <xf numFmtId="4" fontId="265" fillId="0" borderId="1" xfId="0" applyNumberFormat="1" applyFont="1" applyFill="1" applyBorder="1" applyAlignment="1">
      <alignment horizontal="right" vertical="center" wrapText="1"/>
    </xf>
    <xf numFmtId="4" fontId="261" fillId="0" borderId="1" xfId="0" applyNumberFormat="1" applyFont="1" applyFill="1" applyBorder="1" applyAlignment="1">
      <alignment horizontal="right" vertical="center" wrapText="1"/>
    </xf>
    <xf numFmtId="4" fontId="266" fillId="0" borderId="1" xfId="0" applyNumberFormat="1" applyFont="1" applyBorder="1" applyAlignment="1">
      <alignment horizontal="right" vertical="center" wrapText="1"/>
    </xf>
    <xf numFmtId="179" fontId="265" fillId="0" borderId="1" xfId="0" applyNumberFormat="1" applyFont="1" applyFill="1" applyBorder="1" applyAlignment="1">
      <alignment horizontal="right" vertical="center" wrapText="1"/>
    </xf>
    <xf numFmtId="4" fontId="262" fillId="0" borderId="1" xfId="0" applyNumberFormat="1" applyFont="1" applyBorder="1" applyAlignment="1">
      <alignment horizontal="center" vertical="center" wrapText="1"/>
    </xf>
    <xf numFmtId="0" fontId="261" fillId="0" borderId="1" xfId="0" applyFont="1" applyFill="1" applyBorder="1" applyAlignment="1">
      <alignment horizontal="left" vertical="center" wrapText="1"/>
    </xf>
    <xf numFmtId="3" fontId="261" fillId="0" borderId="13" xfId="0" applyNumberFormat="1" applyFont="1" applyBorder="1" applyAlignment="1">
      <alignment vertical="center"/>
    </xf>
    <xf numFmtId="3" fontId="261" fillId="0" borderId="13" xfId="29" applyNumberFormat="1" applyFont="1" applyFill="1" applyBorder="1" applyAlignment="1">
      <alignment horizontal="right" vertical="center" wrapText="1"/>
    </xf>
    <xf numFmtId="3" fontId="265" fillId="0" borderId="13" xfId="0" applyNumberFormat="1" applyFont="1" applyBorder="1" applyAlignment="1">
      <alignment vertical="center"/>
    </xf>
    <xf numFmtId="188" fontId="266" fillId="0" borderId="13" xfId="29" applyNumberFormat="1" applyFont="1" applyFill="1" applyBorder="1" applyAlignment="1">
      <alignment horizontal="right" vertical="center" wrapText="1"/>
    </xf>
    <xf numFmtId="0" fontId="261" fillId="0" borderId="13" xfId="0" applyFont="1" applyBorder="1"/>
    <xf numFmtId="0" fontId="261" fillId="0" borderId="60" xfId="0" applyFont="1" applyBorder="1" applyAlignment="1">
      <alignment vertical="center"/>
    </xf>
    <xf numFmtId="0" fontId="261" fillId="0" borderId="61" xfId="0" applyFont="1" applyBorder="1" applyAlignment="1">
      <alignment vertical="center"/>
    </xf>
    <xf numFmtId="0" fontId="261" fillId="0" borderId="62" xfId="0" applyFont="1" applyBorder="1" applyAlignment="1">
      <alignment vertical="center"/>
    </xf>
    <xf numFmtId="0" fontId="261" fillId="0" borderId="13" xfId="0" applyFont="1" applyBorder="1" applyAlignment="1">
      <alignment horizontal="center" vertical="center" wrapText="1"/>
    </xf>
    <xf numFmtId="0" fontId="261" fillId="0" borderId="13" xfId="0" applyFont="1" applyBorder="1" applyAlignment="1">
      <alignment vertical="center"/>
    </xf>
    <xf numFmtId="188" fontId="261" fillId="0" borderId="13" xfId="29" applyNumberFormat="1" applyFont="1" applyFill="1" applyBorder="1" applyAlignment="1">
      <alignment horizontal="right" vertical="center" wrapText="1"/>
    </xf>
    <xf numFmtId="0" fontId="265" fillId="0" borderId="13" xfId="0" applyFont="1" applyBorder="1" applyAlignment="1">
      <alignment vertical="center"/>
    </xf>
    <xf numFmtId="0" fontId="261" fillId="0" borderId="9" xfId="0" applyFont="1" applyBorder="1" applyAlignment="1">
      <alignment wrapText="1"/>
    </xf>
    <xf numFmtId="0" fontId="261" fillId="0" borderId="9" xfId="0" applyFont="1" applyBorder="1" applyAlignment="1">
      <alignment horizontal="center" vertical="center"/>
    </xf>
    <xf numFmtId="0" fontId="261" fillId="0" borderId="0" xfId="0" applyFont="1" applyAlignment="1">
      <alignment horizontal="center"/>
    </xf>
    <xf numFmtId="0" fontId="265" fillId="0" borderId="0" xfId="0" applyFont="1" applyAlignment="1">
      <alignment vertical="center"/>
    </xf>
    <xf numFmtId="187" fontId="68" fillId="0" borderId="1" xfId="29" applyNumberFormat="1" applyFont="1" applyFill="1" applyBorder="1" applyAlignment="1">
      <alignment horizontal="center" vertical="center" wrapText="1"/>
    </xf>
    <xf numFmtId="187" fontId="261" fillId="0" borderId="1" xfId="29" applyNumberFormat="1" applyFont="1" applyFill="1" applyBorder="1" applyAlignment="1">
      <alignment horizontal="center" vertical="center" wrapText="1"/>
    </xf>
    <xf numFmtId="187" fontId="266" fillId="0" borderId="1" xfId="29" applyNumberFormat="1" applyFont="1" applyFill="1" applyBorder="1" applyAlignment="1">
      <alignment horizontal="center" vertical="center" wrapText="1"/>
    </xf>
    <xf numFmtId="187" fontId="265" fillId="0" borderId="1" xfId="29" applyNumberFormat="1" applyFont="1" applyFill="1" applyBorder="1" applyAlignment="1">
      <alignment horizontal="center" vertical="center" wrapText="1"/>
    </xf>
    <xf numFmtId="187" fontId="261" fillId="0" borderId="13" xfId="29" applyNumberFormat="1" applyFont="1" applyFill="1" applyBorder="1" applyAlignment="1">
      <alignment horizontal="center" vertical="center" wrapText="1"/>
    </xf>
    <xf numFmtId="187" fontId="261" fillId="0" borderId="63" xfId="29" applyNumberFormat="1" applyFont="1" applyFill="1" applyBorder="1" applyAlignment="1">
      <alignment horizontal="center" vertical="center" wrapText="1"/>
    </xf>
    <xf numFmtId="0" fontId="263" fillId="6" borderId="1" xfId="0" applyFont="1" applyFill="1" applyBorder="1" applyAlignment="1">
      <alignment vertical="center"/>
    </xf>
    <xf numFmtId="0" fontId="266" fillId="0" borderId="1" xfId="0" applyFont="1" applyBorder="1" applyAlignment="1">
      <alignment horizontal="right" vertical="center"/>
    </xf>
    <xf numFmtId="0" fontId="263" fillId="0" borderId="1" xfId="0" applyFont="1" applyBorder="1" applyAlignment="1">
      <alignment vertical="center"/>
    </xf>
    <xf numFmtId="3" fontId="266" fillId="0" borderId="1" xfId="0" applyNumberFormat="1" applyFont="1" applyBorder="1" applyAlignment="1">
      <alignment vertical="center"/>
    </xf>
    <xf numFmtId="3" fontId="266" fillId="0" borderId="1" xfId="0" applyNumberFormat="1" applyFont="1" applyFill="1" applyBorder="1" applyAlignment="1">
      <alignment horizontal="right" vertical="center" wrapText="1"/>
    </xf>
    <xf numFmtId="2" fontId="266" fillId="0" borderId="1" xfId="0" applyNumberFormat="1" applyFont="1" applyFill="1" applyBorder="1" applyAlignment="1">
      <alignment horizontal="right" vertical="center" wrapText="1"/>
    </xf>
    <xf numFmtId="4" fontId="266" fillId="0" borderId="1" xfId="0" applyNumberFormat="1" applyFont="1" applyFill="1" applyBorder="1" applyAlignment="1">
      <alignment horizontal="right" vertical="center" wrapText="1"/>
    </xf>
    <xf numFmtId="179" fontId="266" fillId="0" borderId="1" xfId="0" applyNumberFormat="1" applyFont="1" applyFill="1" applyBorder="1" applyAlignment="1">
      <alignment horizontal="right" vertical="center" wrapText="1"/>
    </xf>
    <xf numFmtId="3" fontId="266" fillId="0" borderId="13" xfId="0" applyNumberFormat="1" applyFont="1" applyBorder="1" applyAlignment="1">
      <alignment vertical="center"/>
    </xf>
    <xf numFmtId="0" fontId="266" fillId="0" borderId="61" xfId="0" applyFont="1" applyBorder="1" applyAlignment="1">
      <alignment vertical="center"/>
    </xf>
    <xf numFmtId="0" fontId="266" fillId="0" borderId="13" xfId="0" applyFont="1" applyBorder="1" applyAlignment="1">
      <alignment vertical="center"/>
    </xf>
    <xf numFmtId="223" fontId="263" fillId="6" borderId="1" xfId="29" applyNumberFormat="1" applyFont="1" applyFill="1" applyBorder="1" applyAlignment="1">
      <alignment horizontal="right" vertical="center" wrapText="1"/>
    </xf>
    <xf numFmtId="223" fontId="264" fillId="6" borderId="1" xfId="29" applyNumberFormat="1" applyFont="1" applyFill="1" applyBorder="1" applyAlignment="1">
      <alignment horizontal="right" vertical="center" wrapText="1"/>
    </xf>
    <xf numFmtId="0" fontId="261" fillId="0" borderId="9" xfId="0" applyFont="1" applyBorder="1" applyAlignment="1">
      <alignment horizontal="right" vertical="center"/>
    </xf>
    <xf numFmtId="0" fontId="266" fillId="0" borderId="9" xfId="0" applyFont="1" applyBorder="1" applyAlignment="1">
      <alignment horizontal="right" vertical="center"/>
    </xf>
    <xf numFmtId="188" fontId="265" fillId="56" borderId="1" xfId="29" applyNumberFormat="1" applyFont="1" applyFill="1" applyBorder="1" applyAlignment="1">
      <alignment horizontal="right" vertical="center" wrapText="1"/>
    </xf>
    <xf numFmtId="0" fontId="262" fillId="6" borderId="1" xfId="2318" applyFont="1" applyFill="1" applyBorder="1" applyAlignment="1">
      <alignment horizontal="left" vertical="center" indent="3"/>
    </xf>
    <xf numFmtId="0" fontId="262" fillId="6" borderId="1" xfId="2318" applyFont="1" applyFill="1" applyBorder="1" applyAlignment="1">
      <alignment horizontal="center" vertical="center"/>
    </xf>
    <xf numFmtId="0" fontId="261" fillId="6" borderId="1" xfId="2318" applyFont="1" applyFill="1" applyBorder="1" applyAlignment="1">
      <alignment horizontal="center" vertical="center"/>
    </xf>
    <xf numFmtId="0" fontId="261" fillId="6" borderId="1" xfId="2318" applyFont="1" applyFill="1" applyBorder="1" applyAlignment="1">
      <alignment vertical="center"/>
    </xf>
    <xf numFmtId="0" fontId="261" fillId="6" borderId="1" xfId="2318" quotePrefix="1" applyFont="1" applyFill="1" applyBorder="1" applyAlignment="1">
      <alignment horizontal="center" vertical="center"/>
    </xf>
    <xf numFmtId="0" fontId="262" fillId="6" borderId="1" xfId="2318" quotePrefix="1" applyFont="1" applyFill="1" applyBorder="1" applyAlignment="1">
      <alignment horizontal="center" vertical="center"/>
    </xf>
    <xf numFmtId="0" fontId="262" fillId="6" borderId="1" xfId="2318" applyFont="1" applyFill="1" applyBorder="1" applyAlignment="1">
      <alignment horizontal="left" vertical="center" indent="1"/>
    </xf>
    <xf numFmtId="37" fontId="263" fillId="0" borderId="1" xfId="29" applyNumberFormat="1" applyFont="1" applyFill="1" applyBorder="1" applyAlignment="1">
      <alignment horizontal="right" vertical="center" wrapText="1"/>
    </xf>
    <xf numFmtId="0" fontId="261" fillId="6" borderId="1" xfId="2319" applyFont="1" applyFill="1" applyBorder="1" applyAlignment="1">
      <alignment horizontal="center" vertical="center"/>
    </xf>
    <xf numFmtId="0" fontId="261" fillId="6" borderId="1" xfId="2319" applyFont="1" applyFill="1" applyBorder="1" applyAlignment="1">
      <alignment vertical="center"/>
    </xf>
    <xf numFmtId="0" fontId="261" fillId="6" borderId="1" xfId="2319" quotePrefix="1" applyFont="1" applyFill="1" applyBorder="1" applyAlignment="1">
      <alignment horizontal="center" vertical="center"/>
    </xf>
    <xf numFmtId="0" fontId="274" fillId="0" borderId="1" xfId="0" quotePrefix="1" applyFont="1" applyBorder="1" applyAlignment="1">
      <alignment horizontal="center" vertical="center" wrapText="1"/>
    </xf>
    <xf numFmtId="0" fontId="274" fillId="0" borderId="1" xfId="0" applyFont="1" applyBorder="1" applyAlignment="1">
      <alignment horizontal="left" vertical="center" wrapText="1"/>
    </xf>
    <xf numFmtId="0" fontId="68" fillId="0" borderId="0" xfId="0" applyFont="1" applyAlignment="1">
      <alignment horizontal="center"/>
    </xf>
    <xf numFmtId="0" fontId="262" fillId="0" borderId="0" xfId="0" applyFont="1" applyAlignment="1">
      <alignment horizontal="center"/>
    </xf>
    <xf numFmtId="0" fontId="68" fillId="0" borderId="8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7" xfId="0" applyFont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263" fillId="0" borderId="4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4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center" vertical="center" wrapText="1"/>
    </xf>
    <xf numFmtId="4" fontId="16" fillId="0" borderId="17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3" fontId="238" fillId="0" borderId="4" xfId="0" applyNumberFormat="1" applyFont="1" applyBorder="1" applyAlignment="1">
      <alignment horizontal="center" vertical="center" wrapText="1"/>
    </xf>
    <xf numFmtId="3" fontId="239" fillId="0" borderId="4" xfId="0" applyNumberFormat="1" applyFont="1" applyBorder="1" applyAlignment="1">
      <alignment horizontal="center" vertical="center" wrapText="1"/>
    </xf>
    <xf numFmtId="3" fontId="237" fillId="0" borderId="4" xfId="0" applyNumberFormat="1" applyFont="1" applyBorder="1" applyAlignment="1">
      <alignment horizontal="center" vertical="center" wrapText="1"/>
    </xf>
    <xf numFmtId="3" fontId="229" fillId="0" borderId="0" xfId="0" applyNumberFormat="1" applyFont="1" applyAlignment="1">
      <alignment horizontal="right" vertical="center" wrapText="1"/>
    </xf>
    <xf numFmtId="3" fontId="230" fillId="0" borderId="0" xfId="0" applyNumberFormat="1" applyFont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3" fontId="234" fillId="0" borderId="12" xfId="0" applyNumberFormat="1" applyFont="1" applyBorder="1" applyAlignment="1">
      <alignment horizontal="right" vertical="center"/>
    </xf>
    <xf numFmtId="3" fontId="231" fillId="0" borderId="12" xfId="0" applyNumberFormat="1" applyFont="1" applyBorder="1" applyAlignment="1">
      <alignment horizontal="center" vertical="center"/>
    </xf>
    <xf numFmtId="3" fontId="235" fillId="0" borderId="4" xfId="0" applyNumberFormat="1" applyFont="1" applyBorder="1" applyAlignment="1">
      <alignment horizontal="center" vertical="center" wrapText="1"/>
    </xf>
    <xf numFmtId="3" fontId="236" fillId="0" borderId="8" xfId="0" applyNumberFormat="1" applyFont="1" applyBorder="1" applyAlignment="1">
      <alignment horizontal="center" vertical="center" wrapText="1"/>
    </xf>
    <xf numFmtId="3" fontId="236" fillId="0" borderId="10" xfId="0" applyNumberFormat="1" applyFont="1" applyBorder="1" applyAlignment="1">
      <alignment horizontal="center" vertical="center" wrapText="1"/>
    </xf>
    <xf numFmtId="3" fontId="235" fillId="0" borderId="7" xfId="0" applyNumberFormat="1" applyFont="1" applyBorder="1" applyAlignment="1">
      <alignment horizontal="center" vertical="center" wrapText="1"/>
    </xf>
    <xf numFmtId="3" fontId="235" fillId="0" borderId="3" xfId="0" applyNumberFormat="1" applyFont="1" applyBorder="1" applyAlignment="1">
      <alignment horizontal="center" vertical="center" wrapText="1"/>
    </xf>
    <xf numFmtId="3" fontId="235" fillId="0" borderId="14" xfId="0" applyNumberFormat="1" applyFont="1" applyBorder="1" applyAlignment="1">
      <alignment horizontal="center" vertical="center" wrapText="1"/>
    </xf>
    <xf numFmtId="3" fontId="239" fillId="0" borderId="8" xfId="0" applyNumberFormat="1" applyFont="1" applyBorder="1" applyAlignment="1">
      <alignment horizontal="center" vertical="center" wrapText="1"/>
    </xf>
    <xf numFmtId="3" fontId="239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</cellXfs>
  <cellStyles count="2320">
    <cellStyle name="_x0001_" xfId="1"/>
    <cellStyle name="          _x000d__x000a_shell=progman.exe_x000d__x000a_m" xfId="146"/>
    <cellStyle name="_x0001_ 2" xfId="145"/>
    <cellStyle name="#,##0" xfId="147"/>
    <cellStyle name="#.##0" xfId="148"/>
    <cellStyle name="." xfId="149"/>
    <cellStyle name="._bao cao cuoi thang 5 nam 2017" xfId="150"/>
    <cellStyle name="._Bao cao tinh hinh thuc hien KH 2009 den 31-01-10" xfId="151"/>
    <cellStyle name="._Book1" xfId="152"/>
    <cellStyle name="._Book1_bao cao cuoi thang 5 nam 2017" xfId="153"/>
    <cellStyle name="._Tong hop theo doi von TPCP (BC)" xfId="154"/>
    <cellStyle name="._VBPL kiểm toán Đầu tư XDCB 2010" xfId="155"/>
    <cellStyle name=".d©y" xfId="156"/>
    <cellStyle name="??" xfId="2"/>
    <cellStyle name="?? [ - ??1" xfId="157"/>
    <cellStyle name="?? [ - ??2" xfId="158"/>
    <cellStyle name="?? [ - ??3" xfId="159"/>
    <cellStyle name="?? [ - ??4" xfId="160"/>
    <cellStyle name="?? [ - ??5" xfId="161"/>
    <cellStyle name="?? [ - ??6" xfId="162"/>
    <cellStyle name="?? [ - ??7" xfId="163"/>
    <cellStyle name="?? [ - ??8" xfId="164"/>
    <cellStyle name="?? [0.00]_        " xfId="165"/>
    <cellStyle name="?? [0]" xfId="3"/>
    <cellStyle name="?_x001d_??%U©÷u&amp;H©÷9_x0008_? s_x000a__x0007__x0001__x0001_" xfId="166"/>
    <cellStyle name="???? [0.00]_      " xfId="167"/>
    <cellStyle name="??????" xfId="168"/>
    <cellStyle name="??????????????????? [0]_FTC_OFFER" xfId="169"/>
    <cellStyle name="???????????????????_FTC_OFFER" xfId="170"/>
    <cellStyle name="????_      " xfId="171"/>
    <cellStyle name="???[0]_?? DI" xfId="172"/>
    <cellStyle name="???_?? DI" xfId="173"/>
    <cellStyle name="??[0]_BRE" xfId="4"/>
    <cellStyle name="??_      " xfId="174"/>
    <cellStyle name="??A? [0]_laroux_1_¢¬???¢â? " xfId="175"/>
    <cellStyle name="??A?_laroux_1_¢¬???¢â? " xfId="176"/>
    <cellStyle name="?¡±¢¥?_?¨ù??¢´¢¥_¢¬???¢â? " xfId="177"/>
    <cellStyle name="_x0001_?¶æµ_x001b_ºß­ " xfId="5"/>
    <cellStyle name="_x0001_?¶æµ_x001b_ºß­_" xfId="6"/>
    <cellStyle name="?ðÇ%U?&amp;H?_x0008_?s_x000a__x0007__x0001__x0001_" xfId="178"/>
    <cellStyle name="[0]_Chi phÝ kh¸c_V" xfId="179"/>
    <cellStyle name="_x0001_\Ô" xfId="7"/>
    <cellStyle name="_1 TONG HOP - CA NA" xfId="180"/>
    <cellStyle name="_Bang Chi tieu (2)" xfId="181"/>
    <cellStyle name="_BAO GIA NGAY 24-10-08 (co dam)" xfId="182"/>
    <cellStyle name="_Bao gia TB Kon Dao 2010" xfId="183"/>
    <cellStyle name="_Biểu KH 5 năm gửi UB sửa biểu VHXH" xfId="186"/>
    <cellStyle name="_Bieu tong hop nhu cau ung_Mien Trung" xfId="184"/>
    <cellStyle name="_Bieu ung von 2011 NSNN - TPCP vung DBSClong (10-6-2010)" xfId="185"/>
    <cellStyle name="_Book1" xfId="187"/>
    <cellStyle name="_Book1_1" xfId="188"/>
    <cellStyle name="_Book1_2" xfId="189"/>
    <cellStyle name="_Book1_BC-QT-WB-dthao" xfId="190"/>
    <cellStyle name="_Book1_Book1" xfId="191"/>
    <cellStyle name="_Book1_DT truong thinh phu" xfId="192"/>
    <cellStyle name="_Book1_Kh ql62 (2010) 11-09" xfId="194"/>
    <cellStyle name="_Book1_khoiluongbdacdoa" xfId="195"/>
    <cellStyle name="_Book1_Kiem Tra Don Gia" xfId="193"/>
    <cellStyle name="_Book1_TH KHAI TOAN THU THIEM cac tuyen TT noi" xfId="196"/>
    <cellStyle name="_C.cong+B.luong-Sanluong" xfId="197"/>
    <cellStyle name="_DO-D1500-KHONG CO TRONG DT" xfId="198"/>
    <cellStyle name="_DT truong thinh phu" xfId="199"/>
    <cellStyle name="_DTDT BL-DL" xfId="200"/>
    <cellStyle name="_du toan lan 3" xfId="201"/>
    <cellStyle name="_Duyet TK thay đôi" xfId="202"/>
    <cellStyle name="_GOITHAUSO2" xfId="203"/>
    <cellStyle name="_GOITHAUSO3" xfId="204"/>
    <cellStyle name="_GOITHAUSO4" xfId="205"/>
    <cellStyle name="_GTXD GOI 2" xfId="206"/>
    <cellStyle name="_GTXD GOI1" xfId="207"/>
    <cellStyle name="_GTXD GOI3" xfId="208"/>
    <cellStyle name="_HaHoa_TDT_DienCSang" xfId="209"/>
    <cellStyle name="_HaHoa19-5-07" xfId="210"/>
    <cellStyle name="_Kh ql62 (2010) 11-09" xfId="620"/>
    <cellStyle name="_khoiluongbdacdoa" xfId="621"/>
    <cellStyle name="_Kiem Tra Don Gia" xfId="211"/>
    <cellStyle name="_KT (2)" xfId="212"/>
    <cellStyle name="_KT (2)_1" xfId="213"/>
    <cellStyle name="_KT (2)_1_Book1" xfId="214"/>
    <cellStyle name="_KT (2)_1_Lora-tungchau" xfId="215"/>
    <cellStyle name="_KT (2)_1_Qt-HT3PQ1(CauKho)" xfId="216"/>
    <cellStyle name="_KT (2)_1_Qt-HT3PQ1(CauKho)_Book1" xfId="217"/>
    <cellStyle name="_KT (2)_1_Qt-HT3PQ1(CauKho)_Don gia quy 3 nam 2003 - Ban Dien Luc" xfId="218"/>
    <cellStyle name="_KT (2)_1_Qt-HT3PQ1(CauKho)_Kiem Tra Don Gia" xfId="219"/>
    <cellStyle name="_KT (2)_1_Qt-HT3PQ1(CauKho)_NC-VL2-2003" xfId="220"/>
    <cellStyle name="_KT (2)_1_Qt-HT3PQ1(CauKho)_NC-VL2-2003_1" xfId="221"/>
    <cellStyle name="_KT (2)_1_Qt-HT3PQ1(CauKho)_XL4Test5" xfId="222"/>
    <cellStyle name="_KT (2)_1_quy luong con lai nam 2004" xfId="223"/>
    <cellStyle name="_KT (2)_1_" xfId="224"/>
    <cellStyle name="_KT (2)_2" xfId="225"/>
    <cellStyle name="_KT (2)_2_Book1" xfId="226"/>
    <cellStyle name="_KT (2)_2_DTDuong dong tien -sua tham tra 2009 - luong 650" xfId="227"/>
    <cellStyle name="_KT (2)_2_quy luong con lai nam 2004" xfId="228"/>
    <cellStyle name="_KT (2)_2_TG-TH" xfId="229"/>
    <cellStyle name="_KT (2)_2_TG-TH_BANG TONG HOP TINH HINH THANH QUYET TOAN (MOI I)" xfId="230"/>
    <cellStyle name="_KT (2)_2_TG-TH_BAO CAO KLCT PT2000" xfId="231"/>
    <cellStyle name="_KT (2)_2_TG-TH_BAO CAO PT2000" xfId="232"/>
    <cellStyle name="_KT (2)_2_TG-TH_BAO CAO PT2000_Book1" xfId="233"/>
    <cellStyle name="_KT (2)_2_TG-TH_Bao cao XDCB 2001 - T11 KH dieu chinh 20-11-THAI" xfId="234"/>
    <cellStyle name="_KT (2)_2_TG-TH_BAO GIA NGAY 24-10-08 (co dam)" xfId="235"/>
    <cellStyle name="_KT (2)_2_TG-TH_Biểu KH 5 năm gửi UB sửa biểu VHXH" xfId="236"/>
    <cellStyle name="_KT (2)_2_TG-TH_Book1" xfId="237"/>
    <cellStyle name="_KT (2)_2_TG-TH_Book1_1" xfId="238"/>
    <cellStyle name="_KT (2)_2_TG-TH_Book1_1_Book1" xfId="239"/>
    <cellStyle name="_KT (2)_2_TG-TH_Book1_1_DanhMucDonGiaVTTB_Dien_TAM" xfId="240"/>
    <cellStyle name="_KT (2)_2_TG-TH_Book1_1_khoiluongbdacdoa" xfId="241"/>
    <cellStyle name="_KT (2)_2_TG-TH_Book1_2" xfId="242"/>
    <cellStyle name="_KT (2)_2_TG-TH_Book1_2_Book1" xfId="243"/>
    <cellStyle name="_KT (2)_2_TG-TH_Book1_3" xfId="244"/>
    <cellStyle name="_KT (2)_2_TG-TH_Book1_3_Book1" xfId="245"/>
    <cellStyle name="_KT (2)_2_TG-TH_Book1_3_DT truong thinh phu" xfId="246"/>
    <cellStyle name="_KT (2)_2_TG-TH_Book1_3_XL4Test5" xfId="247"/>
    <cellStyle name="_KT (2)_2_TG-TH_Book1_4" xfId="248"/>
    <cellStyle name="_KT (2)_2_TG-TH_Book1_Book1" xfId="249"/>
    <cellStyle name="_KT (2)_2_TG-TH_Book1_DanhMucDonGiaVTTB_Dien_TAM" xfId="250"/>
    <cellStyle name="_KT (2)_2_TG-TH_Book1_khoiluongbdacdoa" xfId="252"/>
    <cellStyle name="_KT (2)_2_TG-TH_Book1_Kiem Tra Don Gia" xfId="251"/>
    <cellStyle name="_KT (2)_2_TG-TH_Book1_Tong hop 3 tinh (11_5)-TTH-QN-QT" xfId="253"/>
    <cellStyle name="_KT (2)_2_TG-TH_Book1_" xfId="254"/>
    <cellStyle name="_KT (2)_2_TG-TH_CAU Khanh Nam(Thi Cong)" xfId="255"/>
    <cellStyle name="_KT (2)_2_TG-TH_DAU NOI PL-CL TAI PHU LAMHC" xfId="256"/>
    <cellStyle name="_KT (2)_2_TG-TH_Dcdtoan-bcnckt " xfId="257"/>
    <cellStyle name="_KT (2)_2_TG-TH_DN_MTP" xfId="258"/>
    <cellStyle name="_KT (2)_2_TG-TH_Dongia2-2003" xfId="259"/>
    <cellStyle name="_KT (2)_2_TG-TH_Dongia2-2003_DT truong thinh phu" xfId="260"/>
    <cellStyle name="_KT (2)_2_TG-TH_DT truong thinh phu" xfId="261"/>
    <cellStyle name="_KT (2)_2_TG-TH_DTCDT MR.2N110.HOCMON.TDTOAN.CCUNG" xfId="262"/>
    <cellStyle name="_KT (2)_2_TG-TH_DTDuong dong tien -sua tham tra 2009 - luong 650" xfId="263"/>
    <cellStyle name="_KT (2)_2_TG-TH_DU TRU VAT TU" xfId="264"/>
    <cellStyle name="_KT (2)_2_TG-TH_khoiluongbdacdoa" xfId="266"/>
    <cellStyle name="_KT (2)_2_TG-TH_Kiem Tra Don Gia" xfId="265"/>
    <cellStyle name="_KT (2)_2_TG-TH_Lora-tungchau" xfId="267"/>
    <cellStyle name="_KT (2)_2_TG-TH_moi" xfId="268"/>
    <cellStyle name="_KT (2)_2_TG-TH_PGIA-phieu tham tra Kho bac" xfId="269"/>
    <cellStyle name="_KT (2)_2_TG-TH_PT02-02" xfId="270"/>
    <cellStyle name="_KT (2)_2_TG-TH_PT02-02_Book1" xfId="271"/>
    <cellStyle name="_KT (2)_2_TG-TH_PT02-03" xfId="272"/>
    <cellStyle name="_KT (2)_2_TG-TH_PT02-03_Book1" xfId="273"/>
    <cellStyle name="_KT (2)_2_TG-TH_Qt-HT3PQ1(CauKho)" xfId="274"/>
    <cellStyle name="_KT (2)_2_TG-TH_Qt-HT3PQ1(CauKho)_Book1" xfId="275"/>
    <cellStyle name="_KT (2)_2_TG-TH_Qt-HT3PQ1(CauKho)_Don gia quy 3 nam 2003 - Ban Dien Luc" xfId="276"/>
    <cellStyle name="_KT (2)_2_TG-TH_Qt-HT3PQ1(CauKho)_Kiem Tra Don Gia" xfId="277"/>
    <cellStyle name="_KT (2)_2_TG-TH_Qt-HT3PQ1(CauKho)_NC-VL2-2003" xfId="278"/>
    <cellStyle name="_KT (2)_2_TG-TH_Qt-HT3PQ1(CauKho)_NC-VL2-2003_1" xfId="279"/>
    <cellStyle name="_KT (2)_2_TG-TH_Qt-HT3PQ1(CauKho)_XL4Test5" xfId="280"/>
    <cellStyle name="_KT (2)_2_TG-TH_QT-LCTP-AE" xfId="281"/>
    <cellStyle name="_KT (2)_2_TG-TH_quy luong con lai nam 2004" xfId="282"/>
    <cellStyle name="_KT (2)_2_TG-TH_Sheet2" xfId="283"/>
    <cellStyle name="_KT (2)_2_TG-TH_TEL OUT 2004" xfId="284"/>
    <cellStyle name="_KT (2)_2_TG-TH_Tong hop 3 tinh (11_5)-TTH-QN-QT" xfId="285"/>
    <cellStyle name="_KT (2)_2_TG-TH_XL4Poppy" xfId="286"/>
    <cellStyle name="_KT (2)_2_TG-TH_XL4Test5" xfId="287"/>
    <cellStyle name="_KT (2)_2_TG-TH_ÿÿÿÿÿ" xfId="288"/>
    <cellStyle name="_KT (2)_2_TG-TH_" xfId="289"/>
    <cellStyle name="_KT (2)_3" xfId="290"/>
    <cellStyle name="_KT (2)_3_TG-TH" xfId="291"/>
    <cellStyle name="_KT (2)_3_TG-TH_Book1" xfId="292"/>
    <cellStyle name="_KT (2)_3_TG-TH_Book1_1" xfId="293"/>
    <cellStyle name="_KT (2)_3_TG-TH_Book1_BC-QT-WB-dthao" xfId="294"/>
    <cellStyle name="_KT (2)_3_TG-TH_Book1_Book1" xfId="295"/>
    <cellStyle name="_KT (2)_3_TG-TH_Book1_Kiem Tra Don Gia" xfId="296"/>
    <cellStyle name="_KT (2)_3_TG-TH_khoiluongbdacdoa" xfId="298"/>
    <cellStyle name="_KT (2)_3_TG-TH_Kiem Tra Don Gia" xfId="297"/>
    <cellStyle name="_KT (2)_3_TG-TH_Lora-tungchau" xfId="299"/>
    <cellStyle name="_KT (2)_3_TG-TH_Lora-tungchau_Book1" xfId="300"/>
    <cellStyle name="_KT (2)_3_TG-TH_Lora-tungchau_Kiem Tra Don Gia" xfId="301"/>
    <cellStyle name="_KT (2)_3_TG-TH_PERSONAL" xfId="302"/>
    <cellStyle name="_KT (2)_3_TG-TH_PERSONAL_Book1" xfId="303"/>
    <cellStyle name="_KT (2)_3_TG-TH_PERSONAL_HTQ.8 GD1" xfId="304"/>
    <cellStyle name="_KT (2)_3_TG-TH_PERSONAL_HTQ.8 GD1_Book1" xfId="305"/>
    <cellStyle name="_KT (2)_3_TG-TH_PERSONAL_HTQ.8 GD1_Don gia quy 3 nam 2003 - Ban Dien Luc" xfId="306"/>
    <cellStyle name="_KT (2)_3_TG-TH_PERSONAL_HTQ.8 GD1_NC-VL2-2003" xfId="307"/>
    <cellStyle name="_KT (2)_3_TG-TH_PERSONAL_HTQ.8 GD1_NC-VL2-2003_1" xfId="308"/>
    <cellStyle name="_KT (2)_3_TG-TH_PERSONAL_HTQ.8 GD1_XL4Test5" xfId="309"/>
    <cellStyle name="_KT (2)_3_TG-TH_PERSONAL_khoiluongbdacdoa" xfId="310"/>
    <cellStyle name="_KT (2)_3_TG-TH_PERSONAL_Tong hop KHCB 2001" xfId="311"/>
    <cellStyle name="_KT (2)_3_TG-TH_PERSONAL_" xfId="312"/>
    <cellStyle name="_KT (2)_3_TG-TH_Qt-HT3PQ1(CauKho)" xfId="313"/>
    <cellStyle name="_KT (2)_3_TG-TH_Qt-HT3PQ1(CauKho)_Book1" xfId="314"/>
    <cellStyle name="_KT (2)_3_TG-TH_Qt-HT3PQ1(CauKho)_Don gia quy 3 nam 2003 - Ban Dien Luc" xfId="315"/>
    <cellStyle name="_KT (2)_3_TG-TH_Qt-HT3PQ1(CauKho)_Kiem Tra Don Gia" xfId="316"/>
    <cellStyle name="_KT (2)_3_TG-TH_Qt-HT3PQ1(CauKho)_NC-VL2-2003" xfId="317"/>
    <cellStyle name="_KT (2)_3_TG-TH_Qt-HT3PQ1(CauKho)_NC-VL2-2003_1" xfId="318"/>
    <cellStyle name="_KT (2)_3_TG-TH_Qt-HT3PQ1(CauKho)_XL4Test5" xfId="319"/>
    <cellStyle name="_KT (2)_3_TG-TH_QT-LCTP-AE" xfId="320"/>
    <cellStyle name="_KT (2)_3_TG-TH_quy luong con lai nam 2004" xfId="321"/>
    <cellStyle name="_KT (2)_3_TG-TH_" xfId="322"/>
    <cellStyle name="_KT (2)_4" xfId="323"/>
    <cellStyle name="_KT (2)_4_BANG TONG HOP TINH HINH THANH QUYET TOAN (MOI I)" xfId="324"/>
    <cellStyle name="_KT (2)_4_BAO CAO KLCT PT2000" xfId="325"/>
    <cellStyle name="_KT (2)_4_BAO CAO PT2000" xfId="326"/>
    <cellStyle name="_KT (2)_4_BAO CAO PT2000_Book1" xfId="327"/>
    <cellStyle name="_KT (2)_4_Bao cao XDCB 2001 - T11 KH dieu chinh 20-11-THAI" xfId="328"/>
    <cellStyle name="_KT (2)_4_BAO GIA NGAY 24-10-08 (co dam)" xfId="329"/>
    <cellStyle name="_KT (2)_4_Biểu KH 5 năm gửi UB sửa biểu VHXH" xfId="330"/>
    <cellStyle name="_KT (2)_4_Book1" xfId="331"/>
    <cellStyle name="_KT (2)_4_Book1_1" xfId="332"/>
    <cellStyle name="_KT (2)_4_Book1_1_Book1" xfId="333"/>
    <cellStyle name="_KT (2)_4_Book1_1_DanhMucDonGiaVTTB_Dien_TAM" xfId="334"/>
    <cellStyle name="_KT (2)_4_Book1_1_khoiluongbdacdoa" xfId="335"/>
    <cellStyle name="_KT (2)_4_Book1_2" xfId="336"/>
    <cellStyle name="_KT (2)_4_Book1_2_Book1" xfId="337"/>
    <cellStyle name="_KT (2)_4_Book1_3" xfId="338"/>
    <cellStyle name="_KT (2)_4_Book1_3_Book1" xfId="339"/>
    <cellStyle name="_KT (2)_4_Book1_3_DT truong thinh phu" xfId="340"/>
    <cellStyle name="_KT (2)_4_Book1_3_XL4Test5" xfId="341"/>
    <cellStyle name="_KT (2)_4_Book1_4" xfId="342"/>
    <cellStyle name="_KT (2)_4_Book1_Book1" xfId="343"/>
    <cellStyle name="_KT (2)_4_Book1_DanhMucDonGiaVTTB_Dien_TAM" xfId="344"/>
    <cellStyle name="_KT (2)_4_Book1_khoiluongbdacdoa" xfId="346"/>
    <cellStyle name="_KT (2)_4_Book1_Kiem Tra Don Gia" xfId="345"/>
    <cellStyle name="_KT (2)_4_Book1_Tong hop 3 tinh (11_5)-TTH-QN-QT" xfId="347"/>
    <cellStyle name="_KT (2)_4_Book1_" xfId="348"/>
    <cellStyle name="_KT (2)_4_CAU Khanh Nam(Thi Cong)" xfId="349"/>
    <cellStyle name="_KT (2)_4_DAU NOI PL-CL TAI PHU LAMHC" xfId="350"/>
    <cellStyle name="_KT (2)_4_Dcdtoan-bcnckt " xfId="351"/>
    <cellStyle name="_KT (2)_4_DN_MTP" xfId="352"/>
    <cellStyle name="_KT (2)_4_Dongia2-2003" xfId="353"/>
    <cellStyle name="_KT (2)_4_Dongia2-2003_DT truong thinh phu" xfId="354"/>
    <cellStyle name="_KT (2)_4_DT truong thinh phu" xfId="355"/>
    <cellStyle name="_KT (2)_4_DTCDT MR.2N110.HOCMON.TDTOAN.CCUNG" xfId="356"/>
    <cellStyle name="_KT (2)_4_DTDuong dong tien -sua tham tra 2009 - luong 650" xfId="357"/>
    <cellStyle name="_KT (2)_4_DU TRU VAT TU" xfId="358"/>
    <cellStyle name="_KT (2)_4_khoiluongbdacdoa" xfId="360"/>
    <cellStyle name="_KT (2)_4_Kiem Tra Don Gia" xfId="359"/>
    <cellStyle name="_KT (2)_4_Lora-tungchau" xfId="361"/>
    <cellStyle name="_KT (2)_4_moi" xfId="362"/>
    <cellStyle name="_KT (2)_4_PGIA-phieu tham tra Kho bac" xfId="363"/>
    <cellStyle name="_KT (2)_4_PT02-02" xfId="364"/>
    <cellStyle name="_KT (2)_4_PT02-02_Book1" xfId="365"/>
    <cellStyle name="_KT (2)_4_PT02-03" xfId="366"/>
    <cellStyle name="_KT (2)_4_PT02-03_Book1" xfId="367"/>
    <cellStyle name="_KT (2)_4_Qt-HT3PQ1(CauKho)" xfId="368"/>
    <cellStyle name="_KT (2)_4_Qt-HT3PQ1(CauKho)_Book1" xfId="369"/>
    <cellStyle name="_KT (2)_4_Qt-HT3PQ1(CauKho)_Don gia quy 3 nam 2003 - Ban Dien Luc" xfId="370"/>
    <cellStyle name="_KT (2)_4_Qt-HT3PQ1(CauKho)_Kiem Tra Don Gia" xfId="371"/>
    <cellStyle name="_KT (2)_4_Qt-HT3PQ1(CauKho)_NC-VL2-2003" xfId="372"/>
    <cellStyle name="_KT (2)_4_Qt-HT3PQ1(CauKho)_NC-VL2-2003_1" xfId="373"/>
    <cellStyle name="_KT (2)_4_Qt-HT3PQ1(CauKho)_XL4Test5" xfId="374"/>
    <cellStyle name="_KT (2)_4_QT-LCTP-AE" xfId="375"/>
    <cellStyle name="_KT (2)_4_quy luong con lai nam 2004" xfId="376"/>
    <cellStyle name="_KT (2)_4_Sheet2" xfId="377"/>
    <cellStyle name="_KT (2)_4_TEL OUT 2004" xfId="378"/>
    <cellStyle name="_KT (2)_4_TG-TH" xfId="379"/>
    <cellStyle name="_KT (2)_4_TG-TH_Book1" xfId="380"/>
    <cellStyle name="_KT (2)_4_TG-TH_DTDuong dong tien -sua tham tra 2009 - luong 650" xfId="381"/>
    <cellStyle name="_KT (2)_4_TG-TH_quy luong con lai nam 2004" xfId="382"/>
    <cellStyle name="_KT (2)_4_Tong hop 3 tinh (11_5)-TTH-QN-QT" xfId="383"/>
    <cellStyle name="_KT (2)_4_XL4Poppy" xfId="384"/>
    <cellStyle name="_KT (2)_4_XL4Test5" xfId="385"/>
    <cellStyle name="_KT (2)_4_ÿÿÿÿÿ" xfId="386"/>
    <cellStyle name="_KT (2)_4_" xfId="387"/>
    <cellStyle name="_KT (2)_5" xfId="388"/>
    <cellStyle name="_KT (2)_5_BANG TONG HOP TINH HINH THANH QUYET TOAN (MOI I)" xfId="389"/>
    <cellStyle name="_KT (2)_5_BAO CAO KLCT PT2000" xfId="390"/>
    <cellStyle name="_KT (2)_5_BAO CAO PT2000" xfId="391"/>
    <cellStyle name="_KT (2)_5_BAO CAO PT2000_Book1" xfId="392"/>
    <cellStyle name="_KT (2)_5_Bao cao XDCB 2001 - T11 KH dieu chinh 20-11-THAI" xfId="393"/>
    <cellStyle name="_KT (2)_5_BAO GIA NGAY 24-10-08 (co dam)" xfId="394"/>
    <cellStyle name="_KT (2)_5_Biểu KH 5 năm gửi UB sửa biểu VHXH" xfId="395"/>
    <cellStyle name="_KT (2)_5_Book1" xfId="396"/>
    <cellStyle name="_KT (2)_5_Book1_1" xfId="397"/>
    <cellStyle name="_KT (2)_5_Book1_1_Book1" xfId="398"/>
    <cellStyle name="_KT (2)_5_Book1_1_DanhMucDonGiaVTTB_Dien_TAM" xfId="399"/>
    <cellStyle name="_KT (2)_5_Book1_1_khoiluongbdacdoa" xfId="400"/>
    <cellStyle name="_KT (2)_5_Book1_2" xfId="401"/>
    <cellStyle name="_KT (2)_5_Book1_2_Book1" xfId="402"/>
    <cellStyle name="_KT (2)_5_Book1_3" xfId="403"/>
    <cellStyle name="_KT (2)_5_Book1_3_Book1" xfId="404"/>
    <cellStyle name="_KT (2)_5_Book1_3_DT truong thinh phu" xfId="405"/>
    <cellStyle name="_KT (2)_5_Book1_3_XL4Test5" xfId="406"/>
    <cellStyle name="_KT (2)_5_Book1_4" xfId="407"/>
    <cellStyle name="_KT (2)_5_Book1_BC-QT-WB-dthao" xfId="408"/>
    <cellStyle name="_KT (2)_5_Book1_Book1" xfId="409"/>
    <cellStyle name="_KT (2)_5_Book1_DanhMucDonGiaVTTB_Dien_TAM" xfId="410"/>
    <cellStyle name="_KT (2)_5_Book1_khoiluongbdacdoa" xfId="412"/>
    <cellStyle name="_KT (2)_5_Book1_Kiem Tra Don Gia" xfId="411"/>
    <cellStyle name="_KT (2)_5_Book1_Tong hop 3 tinh (11_5)-TTH-QN-QT" xfId="413"/>
    <cellStyle name="_KT (2)_5_Book1_" xfId="414"/>
    <cellStyle name="_KT (2)_5_CAU Khanh Nam(Thi Cong)" xfId="415"/>
    <cellStyle name="_KT (2)_5_DAU NOI PL-CL TAI PHU LAMHC" xfId="416"/>
    <cellStyle name="_KT (2)_5_Dcdtoan-bcnckt " xfId="417"/>
    <cellStyle name="_KT (2)_5_DN_MTP" xfId="418"/>
    <cellStyle name="_KT (2)_5_Dongia2-2003" xfId="419"/>
    <cellStyle name="_KT (2)_5_Dongia2-2003_DT truong thinh phu" xfId="420"/>
    <cellStyle name="_KT (2)_5_DT truong thinh phu" xfId="421"/>
    <cellStyle name="_KT (2)_5_DTCDT MR.2N110.HOCMON.TDTOAN.CCUNG" xfId="422"/>
    <cellStyle name="_KT (2)_5_DTDuong dong tien -sua tham tra 2009 - luong 650" xfId="423"/>
    <cellStyle name="_KT (2)_5_DU TRU VAT TU" xfId="424"/>
    <cellStyle name="_KT (2)_5_khoiluongbdacdoa" xfId="426"/>
    <cellStyle name="_KT (2)_5_Kiem Tra Don Gia" xfId="425"/>
    <cellStyle name="_KT (2)_5_Lora-tungchau" xfId="427"/>
    <cellStyle name="_KT (2)_5_moi" xfId="428"/>
    <cellStyle name="_KT (2)_5_PGIA-phieu tham tra Kho bac" xfId="429"/>
    <cellStyle name="_KT (2)_5_PT02-02" xfId="430"/>
    <cellStyle name="_KT (2)_5_PT02-02_Book1" xfId="431"/>
    <cellStyle name="_KT (2)_5_PT02-03" xfId="432"/>
    <cellStyle name="_KT (2)_5_PT02-03_Book1" xfId="433"/>
    <cellStyle name="_KT (2)_5_Qt-HT3PQ1(CauKho)" xfId="434"/>
    <cellStyle name="_KT (2)_5_Qt-HT3PQ1(CauKho)_Book1" xfId="435"/>
    <cellStyle name="_KT (2)_5_Qt-HT3PQ1(CauKho)_Don gia quy 3 nam 2003 - Ban Dien Luc" xfId="436"/>
    <cellStyle name="_KT (2)_5_Qt-HT3PQ1(CauKho)_Kiem Tra Don Gia" xfId="437"/>
    <cellStyle name="_KT (2)_5_Qt-HT3PQ1(CauKho)_NC-VL2-2003" xfId="438"/>
    <cellStyle name="_KT (2)_5_Qt-HT3PQ1(CauKho)_NC-VL2-2003_1" xfId="439"/>
    <cellStyle name="_KT (2)_5_Qt-HT3PQ1(CauKho)_XL4Test5" xfId="440"/>
    <cellStyle name="_KT (2)_5_QT-LCTP-AE" xfId="441"/>
    <cellStyle name="_KT (2)_5_Sheet2" xfId="442"/>
    <cellStyle name="_KT (2)_5_TEL OUT 2004" xfId="443"/>
    <cellStyle name="_KT (2)_5_Tong hop 3 tinh (11_5)-TTH-QN-QT" xfId="444"/>
    <cellStyle name="_KT (2)_5_XL4Poppy" xfId="445"/>
    <cellStyle name="_KT (2)_5_XL4Test5" xfId="446"/>
    <cellStyle name="_KT (2)_5_ÿÿÿÿÿ" xfId="447"/>
    <cellStyle name="_KT (2)_5_" xfId="448"/>
    <cellStyle name="_KT (2)_Book1" xfId="449"/>
    <cellStyle name="_KT (2)_Book1_1" xfId="450"/>
    <cellStyle name="_KT (2)_Book1_BC-QT-WB-dthao" xfId="451"/>
    <cellStyle name="_KT (2)_Book1_Book1" xfId="452"/>
    <cellStyle name="_KT (2)_Book1_Kiem Tra Don Gia" xfId="453"/>
    <cellStyle name="_KT (2)_khoiluongbdacdoa" xfId="455"/>
    <cellStyle name="_KT (2)_Kiem Tra Don Gia" xfId="454"/>
    <cellStyle name="_KT (2)_Lora-tungchau" xfId="456"/>
    <cellStyle name="_KT (2)_Lora-tungchau_Book1" xfId="457"/>
    <cellStyle name="_KT (2)_Lora-tungchau_Kiem Tra Don Gia" xfId="458"/>
    <cellStyle name="_KT (2)_PERSONAL" xfId="459"/>
    <cellStyle name="_KT (2)_PERSONAL_Book1" xfId="460"/>
    <cellStyle name="_KT (2)_PERSONAL_HTQ.8 GD1" xfId="461"/>
    <cellStyle name="_KT (2)_PERSONAL_HTQ.8 GD1_Book1" xfId="462"/>
    <cellStyle name="_KT (2)_PERSONAL_HTQ.8 GD1_Don gia quy 3 nam 2003 - Ban Dien Luc" xfId="463"/>
    <cellStyle name="_KT (2)_PERSONAL_HTQ.8 GD1_NC-VL2-2003" xfId="464"/>
    <cellStyle name="_KT (2)_PERSONAL_HTQ.8 GD1_NC-VL2-2003_1" xfId="465"/>
    <cellStyle name="_KT (2)_PERSONAL_HTQ.8 GD1_XL4Test5" xfId="466"/>
    <cellStyle name="_KT (2)_PERSONAL_khoiluongbdacdoa" xfId="467"/>
    <cellStyle name="_KT (2)_PERSONAL_Tong hop KHCB 2001" xfId="468"/>
    <cellStyle name="_KT (2)_PERSONAL_" xfId="469"/>
    <cellStyle name="_KT (2)_Qt-HT3PQ1(CauKho)" xfId="470"/>
    <cellStyle name="_KT (2)_Qt-HT3PQ1(CauKho)_Book1" xfId="471"/>
    <cellStyle name="_KT (2)_Qt-HT3PQ1(CauKho)_Don gia quy 3 nam 2003 - Ban Dien Luc" xfId="472"/>
    <cellStyle name="_KT (2)_Qt-HT3PQ1(CauKho)_Kiem Tra Don Gia" xfId="473"/>
    <cellStyle name="_KT (2)_Qt-HT3PQ1(CauKho)_NC-VL2-2003" xfId="474"/>
    <cellStyle name="_KT (2)_Qt-HT3PQ1(CauKho)_NC-VL2-2003_1" xfId="475"/>
    <cellStyle name="_KT (2)_Qt-HT3PQ1(CauKho)_XL4Test5" xfId="476"/>
    <cellStyle name="_KT (2)_QT-LCTP-AE" xfId="477"/>
    <cellStyle name="_KT (2)_quy luong con lai nam 2004" xfId="478"/>
    <cellStyle name="_KT (2)_TG-TH" xfId="479"/>
    <cellStyle name="_KT (2)_" xfId="480"/>
    <cellStyle name="_KT_TG" xfId="481"/>
    <cellStyle name="_KT_TG_1" xfId="482"/>
    <cellStyle name="_KT_TG_1_BANG TONG HOP TINH HINH THANH QUYET TOAN (MOI I)" xfId="483"/>
    <cellStyle name="_KT_TG_1_BAO CAO KLCT PT2000" xfId="484"/>
    <cellStyle name="_KT_TG_1_BAO CAO PT2000" xfId="485"/>
    <cellStyle name="_KT_TG_1_BAO CAO PT2000_Book1" xfId="486"/>
    <cellStyle name="_KT_TG_1_Bao cao XDCB 2001 - T11 KH dieu chinh 20-11-THAI" xfId="487"/>
    <cellStyle name="_KT_TG_1_BAO GIA NGAY 24-10-08 (co dam)" xfId="488"/>
    <cellStyle name="_KT_TG_1_Biểu KH 5 năm gửi UB sửa biểu VHXH" xfId="489"/>
    <cellStyle name="_KT_TG_1_Book1" xfId="490"/>
    <cellStyle name="_KT_TG_1_Book1_1" xfId="491"/>
    <cellStyle name="_KT_TG_1_Book1_1_Book1" xfId="492"/>
    <cellStyle name="_KT_TG_1_Book1_1_DanhMucDonGiaVTTB_Dien_TAM" xfId="493"/>
    <cellStyle name="_KT_TG_1_Book1_1_khoiluongbdacdoa" xfId="494"/>
    <cellStyle name="_KT_TG_1_Book1_2" xfId="495"/>
    <cellStyle name="_KT_TG_1_Book1_2_Book1" xfId="496"/>
    <cellStyle name="_KT_TG_1_Book1_3" xfId="497"/>
    <cellStyle name="_KT_TG_1_Book1_3_Book1" xfId="498"/>
    <cellStyle name="_KT_TG_1_Book1_3_DT truong thinh phu" xfId="499"/>
    <cellStyle name="_KT_TG_1_Book1_3_XL4Test5" xfId="500"/>
    <cellStyle name="_KT_TG_1_Book1_4" xfId="501"/>
    <cellStyle name="_KT_TG_1_Book1_BC-QT-WB-dthao" xfId="502"/>
    <cellStyle name="_KT_TG_1_Book1_Book1" xfId="503"/>
    <cellStyle name="_KT_TG_1_Book1_DanhMucDonGiaVTTB_Dien_TAM" xfId="504"/>
    <cellStyle name="_KT_TG_1_Book1_khoiluongbdacdoa" xfId="506"/>
    <cellStyle name="_KT_TG_1_Book1_Kiem Tra Don Gia" xfId="505"/>
    <cellStyle name="_KT_TG_1_Book1_Tong hop 3 tinh (11_5)-TTH-QN-QT" xfId="507"/>
    <cellStyle name="_KT_TG_1_Book1_" xfId="508"/>
    <cellStyle name="_KT_TG_1_CAU Khanh Nam(Thi Cong)" xfId="509"/>
    <cellStyle name="_KT_TG_1_DAU NOI PL-CL TAI PHU LAMHC" xfId="510"/>
    <cellStyle name="_KT_TG_1_Dcdtoan-bcnckt " xfId="511"/>
    <cellStyle name="_KT_TG_1_DN_MTP" xfId="512"/>
    <cellStyle name="_KT_TG_1_Dongia2-2003" xfId="513"/>
    <cellStyle name="_KT_TG_1_Dongia2-2003_DT truong thinh phu" xfId="514"/>
    <cellStyle name="_KT_TG_1_DT truong thinh phu" xfId="515"/>
    <cellStyle name="_KT_TG_1_DTCDT MR.2N110.HOCMON.TDTOAN.CCUNG" xfId="516"/>
    <cellStyle name="_KT_TG_1_DTDuong dong tien -sua tham tra 2009 - luong 650" xfId="517"/>
    <cellStyle name="_KT_TG_1_DU TRU VAT TU" xfId="518"/>
    <cellStyle name="_KT_TG_1_khoiluongbdacdoa" xfId="520"/>
    <cellStyle name="_KT_TG_1_Kiem Tra Don Gia" xfId="519"/>
    <cellStyle name="_KT_TG_1_Lora-tungchau" xfId="521"/>
    <cellStyle name="_KT_TG_1_moi" xfId="522"/>
    <cellStyle name="_KT_TG_1_PGIA-phieu tham tra Kho bac" xfId="523"/>
    <cellStyle name="_KT_TG_1_PT02-02" xfId="524"/>
    <cellStyle name="_KT_TG_1_PT02-02_Book1" xfId="525"/>
    <cellStyle name="_KT_TG_1_PT02-03" xfId="526"/>
    <cellStyle name="_KT_TG_1_PT02-03_Book1" xfId="527"/>
    <cellStyle name="_KT_TG_1_Qt-HT3PQ1(CauKho)" xfId="528"/>
    <cellStyle name="_KT_TG_1_Qt-HT3PQ1(CauKho)_Book1" xfId="529"/>
    <cellStyle name="_KT_TG_1_Qt-HT3PQ1(CauKho)_Don gia quy 3 nam 2003 - Ban Dien Luc" xfId="530"/>
    <cellStyle name="_KT_TG_1_Qt-HT3PQ1(CauKho)_Kiem Tra Don Gia" xfId="531"/>
    <cellStyle name="_KT_TG_1_Qt-HT3PQ1(CauKho)_NC-VL2-2003" xfId="532"/>
    <cellStyle name="_KT_TG_1_Qt-HT3PQ1(CauKho)_NC-VL2-2003_1" xfId="533"/>
    <cellStyle name="_KT_TG_1_Qt-HT3PQ1(CauKho)_XL4Test5" xfId="534"/>
    <cellStyle name="_KT_TG_1_QT-LCTP-AE" xfId="535"/>
    <cellStyle name="_KT_TG_1_Sheet2" xfId="536"/>
    <cellStyle name="_KT_TG_1_TEL OUT 2004" xfId="537"/>
    <cellStyle name="_KT_TG_1_Tong hop 3 tinh (11_5)-TTH-QN-QT" xfId="538"/>
    <cellStyle name="_KT_TG_1_XL4Poppy" xfId="539"/>
    <cellStyle name="_KT_TG_1_XL4Test5" xfId="540"/>
    <cellStyle name="_KT_TG_1_ÿÿÿÿÿ" xfId="541"/>
    <cellStyle name="_KT_TG_1_" xfId="542"/>
    <cellStyle name="_KT_TG_2" xfId="543"/>
    <cellStyle name="_KT_TG_2_BANG TONG HOP TINH HINH THANH QUYET TOAN (MOI I)" xfId="544"/>
    <cellStyle name="_KT_TG_2_BAO CAO KLCT PT2000" xfId="545"/>
    <cellStyle name="_KT_TG_2_BAO CAO PT2000" xfId="546"/>
    <cellStyle name="_KT_TG_2_BAO CAO PT2000_Book1" xfId="547"/>
    <cellStyle name="_KT_TG_2_Bao cao XDCB 2001 - T11 KH dieu chinh 20-11-THAI" xfId="548"/>
    <cellStyle name="_KT_TG_2_BAO GIA NGAY 24-10-08 (co dam)" xfId="549"/>
    <cellStyle name="_KT_TG_2_Biểu KH 5 năm gửi UB sửa biểu VHXH" xfId="550"/>
    <cellStyle name="_KT_TG_2_Book1" xfId="551"/>
    <cellStyle name="_KT_TG_2_Book1_1" xfId="552"/>
    <cellStyle name="_KT_TG_2_Book1_1_Book1" xfId="553"/>
    <cellStyle name="_KT_TG_2_Book1_1_DanhMucDonGiaVTTB_Dien_TAM" xfId="554"/>
    <cellStyle name="_KT_TG_2_Book1_1_khoiluongbdacdoa" xfId="555"/>
    <cellStyle name="_KT_TG_2_Book1_2" xfId="556"/>
    <cellStyle name="_KT_TG_2_Book1_2_Book1" xfId="557"/>
    <cellStyle name="_KT_TG_2_Book1_3" xfId="558"/>
    <cellStyle name="_KT_TG_2_Book1_3_Book1" xfId="559"/>
    <cellStyle name="_KT_TG_2_Book1_3_DT truong thinh phu" xfId="560"/>
    <cellStyle name="_KT_TG_2_Book1_3_XL4Test5" xfId="561"/>
    <cellStyle name="_KT_TG_2_Book1_4" xfId="562"/>
    <cellStyle name="_KT_TG_2_Book1_Book1" xfId="563"/>
    <cellStyle name="_KT_TG_2_Book1_DanhMucDonGiaVTTB_Dien_TAM" xfId="564"/>
    <cellStyle name="_KT_TG_2_Book1_khoiluongbdacdoa" xfId="566"/>
    <cellStyle name="_KT_TG_2_Book1_Kiem Tra Don Gia" xfId="565"/>
    <cellStyle name="_KT_TG_2_Book1_Tong hop 3 tinh (11_5)-TTH-QN-QT" xfId="567"/>
    <cellStyle name="_KT_TG_2_Book1_" xfId="568"/>
    <cellStyle name="_KT_TG_2_CAU Khanh Nam(Thi Cong)" xfId="569"/>
    <cellStyle name="_KT_TG_2_DAU NOI PL-CL TAI PHU LAMHC" xfId="570"/>
    <cellStyle name="_KT_TG_2_Dcdtoan-bcnckt " xfId="571"/>
    <cellStyle name="_KT_TG_2_DN_MTP" xfId="572"/>
    <cellStyle name="_KT_TG_2_Dongia2-2003" xfId="573"/>
    <cellStyle name="_KT_TG_2_Dongia2-2003_DT truong thinh phu" xfId="574"/>
    <cellStyle name="_KT_TG_2_DT truong thinh phu" xfId="575"/>
    <cellStyle name="_KT_TG_2_DTCDT MR.2N110.HOCMON.TDTOAN.CCUNG" xfId="576"/>
    <cellStyle name="_KT_TG_2_DTDuong dong tien -sua tham tra 2009 - luong 650" xfId="577"/>
    <cellStyle name="_KT_TG_2_DU TRU VAT TU" xfId="578"/>
    <cellStyle name="_KT_TG_2_khoiluongbdacdoa" xfId="580"/>
    <cellStyle name="_KT_TG_2_Kiem Tra Don Gia" xfId="579"/>
    <cellStyle name="_KT_TG_2_Lora-tungchau" xfId="581"/>
    <cellStyle name="_KT_TG_2_moi" xfId="582"/>
    <cellStyle name="_KT_TG_2_PGIA-phieu tham tra Kho bac" xfId="583"/>
    <cellStyle name="_KT_TG_2_PT02-02" xfId="584"/>
    <cellStyle name="_KT_TG_2_PT02-02_Book1" xfId="585"/>
    <cellStyle name="_KT_TG_2_PT02-03" xfId="586"/>
    <cellStyle name="_KT_TG_2_PT02-03_Book1" xfId="587"/>
    <cellStyle name="_KT_TG_2_Qt-HT3PQ1(CauKho)" xfId="588"/>
    <cellStyle name="_KT_TG_2_Qt-HT3PQ1(CauKho)_Book1" xfId="589"/>
    <cellStyle name="_KT_TG_2_Qt-HT3PQ1(CauKho)_Don gia quy 3 nam 2003 - Ban Dien Luc" xfId="590"/>
    <cellStyle name="_KT_TG_2_Qt-HT3PQ1(CauKho)_Kiem Tra Don Gia" xfId="591"/>
    <cellStyle name="_KT_TG_2_Qt-HT3PQ1(CauKho)_NC-VL2-2003" xfId="592"/>
    <cellStyle name="_KT_TG_2_Qt-HT3PQ1(CauKho)_NC-VL2-2003_1" xfId="593"/>
    <cellStyle name="_KT_TG_2_Qt-HT3PQ1(CauKho)_XL4Test5" xfId="594"/>
    <cellStyle name="_KT_TG_2_QT-LCTP-AE" xfId="595"/>
    <cellStyle name="_KT_TG_2_quy luong con lai nam 2004" xfId="596"/>
    <cellStyle name="_KT_TG_2_Sheet2" xfId="597"/>
    <cellStyle name="_KT_TG_2_TEL OUT 2004" xfId="598"/>
    <cellStyle name="_KT_TG_2_Tong hop 3 tinh (11_5)-TTH-QN-QT" xfId="599"/>
    <cellStyle name="_KT_TG_2_XL4Poppy" xfId="600"/>
    <cellStyle name="_KT_TG_2_XL4Test5" xfId="601"/>
    <cellStyle name="_KT_TG_2_ÿÿÿÿÿ" xfId="602"/>
    <cellStyle name="_KT_TG_2_" xfId="603"/>
    <cellStyle name="_KT_TG_3" xfId="604"/>
    <cellStyle name="_KT_TG_4" xfId="605"/>
    <cellStyle name="_KT_TG_4_Book1" xfId="606"/>
    <cellStyle name="_KT_TG_4_Lora-tungchau" xfId="607"/>
    <cellStyle name="_KT_TG_4_Qt-HT3PQ1(CauKho)" xfId="608"/>
    <cellStyle name="_KT_TG_4_Qt-HT3PQ1(CauKho)_Book1" xfId="609"/>
    <cellStyle name="_KT_TG_4_Qt-HT3PQ1(CauKho)_Don gia quy 3 nam 2003 - Ban Dien Luc" xfId="610"/>
    <cellStyle name="_KT_TG_4_Qt-HT3PQ1(CauKho)_Kiem Tra Don Gia" xfId="611"/>
    <cellStyle name="_KT_TG_4_Qt-HT3PQ1(CauKho)_NC-VL2-2003" xfId="612"/>
    <cellStyle name="_KT_TG_4_Qt-HT3PQ1(CauKho)_NC-VL2-2003_1" xfId="613"/>
    <cellStyle name="_KT_TG_4_Qt-HT3PQ1(CauKho)_XL4Test5" xfId="614"/>
    <cellStyle name="_KT_TG_4_quy luong con lai nam 2004" xfId="615"/>
    <cellStyle name="_KT_TG_4_" xfId="616"/>
    <cellStyle name="_KT_TG_Book1" xfId="617"/>
    <cellStyle name="_KT_TG_DTDuong dong tien -sua tham tra 2009 - luong 650" xfId="618"/>
    <cellStyle name="_KT_TG_quy luong con lai nam 2004" xfId="619"/>
    <cellStyle name="_Lora-tungchau" xfId="622"/>
    <cellStyle name="_Lora-tungchau_Book1" xfId="623"/>
    <cellStyle name="_Lora-tungchau_Kiem Tra Don Gia" xfId="624"/>
    <cellStyle name="_MauThanTKKT-goi7-DonGia2143(vl t7)" xfId="625"/>
    <cellStyle name="_Nhu cau von ung truoc 2011 Tha h Hoa + Nge An gui TW" xfId="626"/>
    <cellStyle name="_PERSONAL" xfId="627"/>
    <cellStyle name="_PERSONAL_Book1" xfId="628"/>
    <cellStyle name="_PERSONAL_HTQ.8 GD1" xfId="629"/>
    <cellStyle name="_PERSONAL_HTQ.8 GD1_Book1" xfId="630"/>
    <cellStyle name="_PERSONAL_HTQ.8 GD1_Don gia quy 3 nam 2003 - Ban Dien Luc" xfId="631"/>
    <cellStyle name="_PERSONAL_HTQ.8 GD1_NC-VL2-2003" xfId="632"/>
    <cellStyle name="_PERSONAL_HTQ.8 GD1_NC-VL2-2003_1" xfId="633"/>
    <cellStyle name="_PERSONAL_HTQ.8 GD1_XL4Test5" xfId="634"/>
    <cellStyle name="_PERSONAL_khoiluongbdacdoa" xfId="635"/>
    <cellStyle name="_PERSONAL_Tong hop KHCB 2001" xfId="636"/>
    <cellStyle name="_PERSONAL_" xfId="637"/>
    <cellStyle name="_Q TOAN  SCTX QL.62 QUI I ( oanh)" xfId="638"/>
    <cellStyle name="_Q TOAN  SCTX QL.62 QUI II ( oanh)" xfId="639"/>
    <cellStyle name="_QT SCTXQL62_QT1 (Cty QL)" xfId="640"/>
    <cellStyle name="_Qt-HT3PQ1(CauKho)" xfId="641"/>
    <cellStyle name="_Qt-HT3PQ1(CauKho)_Book1" xfId="642"/>
    <cellStyle name="_Qt-HT3PQ1(CauKho)_Don gia quy 3 nam 2003 - Ban Dien Luc" xfId="643"/>
    <cellStyle name="_Qt-HT3PQ1(CauKho)_Kiem Tra Don Gia" xfId="644"/>
    <cellStyle name="_Qt-HT3PQ1(CauKho)_NC-VL2-2003" xfId="645"/>
    <cellStyle name="_Qt-HT3PQ1(CauKho)_NC-VL2-2003_1" xfId="646"/>
    <cellStyle name="_Qt-HT3PQ1(CauKho)_XL4Test5" xfId="647"/>
    <cellStyle name="_QT-LCTP-AE" xfId="648"/>
    <cellStyle name="_quy luong con lai nam 2004" xfId="649"/>
    <cellStyle name="_Sheet1" xfId="650"/>
    <cellStyle name="_Sheet2" xfId="651"/>
    <cellStyle name="_TG-TH" xfId="652"/>
    <cellStyle name="_TG-TH_1" xfId="653"/>
    <cellStyle name="_TG-TH_1_BANG TONG HOP TINH HINH THANH QUYET TOAN (MOI I)" xfId="654"/>
    <cellStyle name="_TG-TH_1_BAO CAO KLCT PT2000" xfId="655"/>
    <cellStyle name="_TG-TH_1_BAO CAO PT2000" xfId="656"/>
    <cellStyle name="_TG-TH_1_BAO CAO PT2000_Book1" xfId="657"/>
    <cellStyle name="_TG-TH_1_Bao cao XDCB 2001 - T11 KH dieu chinh 20-11-THAI" xfId="658"/>
    <cellStyle name="_TG-TH_1_BAO GIA NGAY 24-10-08 (co dam)" xfId="659"/>
    <cellStyle name="_TG-TH_1_Biểu KH 5 năm gửi UB sửa biểu VHXH" xfId="660"/>
    <cellStyle name="_TG-TH_1_Book1" xfId="661"/>
    <cellStyle name="_TG-TH_1_Book1_1" xfId="662"/>
    <cellStyle name="_TG-TH_1_Book1_1_Book1" xfId="663"/>
    <cellStyle name="_TG-TH_1_Book1_1_DanhMucDonGiaVTTB_Dien_TAM" xfId="664"/>
    <cellStyle name="_TG-TH_1_Book1_1_khoiluongbdacdoa" xfId="665"/>
    <cellStyle name="_TG-TH_1_Book1_2" xfId="666"/>
    <cellStyle name="_TG-TH_1_Book1_2_Book1" xfId="667"/>
    <cellStyle name="_TG-TH_1_Book1_3" xfId="668"/>
    <cellStyle name="_TG-TH_1_Book1_3_Book1" xfId="669"/>
    <cellStyle name="_TG-TH_1_Book1_3_DT truong thinh phu" xfId="670"/>
    <cellStyle name="_TG-TH_1_Book1_3_XL4Test5" xfId="671"/>
    <cellStyle name="_TG-TH_1_Book1_4" xfId="672"/>
    <cellStyle name="_TG-TH_1_Book1_BC-QT-WB-dthao" xfId="673"/>
    <cellStyle name="_TG-TH_1_Book1_Book1" xfId="674"/>
    <cellStyle name="_TG-TH_1_Book1_DanhMucDonGiaVTTB_Dien_TAM" xfId="675"/>
    <cellStyle name="_TG-TH_1_Book1_khoiluongbdacdoa" xfId="677"/>
    <cellStyle name="_TG-TH_1_Book1_Kiem Tra Don Gia" xfId="676"/>
    <cellStyle name="_TG-TH_1_Book1_Tong hop 3 tinh (11_5)-TTH-QN-QT" xfId="678"/>
    <cellStyle name="_TG-TH_1_Book1_" xfId="679"/>
    <cellStyle name="_TG-TH_1_CAU Khanh Nam(Thi Cong)" xfId="680"/>
    <cellStyle name="_TG-TH_1_DAU NOI PL-CL TAI PHU LAMHC" xfId="681"/>
    <cellStyle name="_TG-TH_1_Dcdtoan-bcnckt " xfId="682"/>
    <cellStyle name="_TG-TH_1_DN_MTP" xfId="683"/>
    <cellStyle name="_TG-TH_1_Dongia2-2003" xfId="684"/>
    <cellStyle name="_TG-TH_1_Dongia2-2003_DT truong thinh phu" xfId="685"/>
    <cellStyle name="_TG-TH_1_DT truong thinh phu" xfId="686"/>
    <cellStyle name="_TG-TH_1_DTCDT MR.2N110.HOCMON.TDTOAN.CCUNG" xfId="687"/>
    <cellStyle name="_TG-TH_1_DTDuong dong tien -sua tham tra 2009 - luong 650" xfId="688"/>
    <cellStyle name="_TG-TH_1_DU TRU VAT TU" xfId="689"/>
    <cellStyle name="_TG-TH_1_khoiluongbdacdoa" xfId="691"/>
    <cellStyle name="_TG-TH_1_Kiem Tra Don Gia" xfId="690"/>
    <cellStyle name="_TG-TH_1_Lora-tungchau" xfId="692"/>
    <cellStyle name="_TG-TH_1_moi" xfId="693"/>
    <cellStyle name="_TG-TH_1_PGIA-phieu tham tra Kho bac" xfId="694"/>
    <cellStyle name="_TG-TH_1_PT02-02" xfId="695"/>
    <cellStyle name="_TG-TH_1_PT02-02_Book1" xfId="696"/>
    <cellStyle name="_TG-TH_1_PT02-03" xfId="697"/>
    <cellStyle name="_TG-TH_1_PT02-03_Book1" xfId="698"/>
    <cellStyle name="_TG-TH_1_Qt-HT3PQ1(CauKho)" xfId="699"/>
    <cellStyle name="_TG-TH_1_Qt-HT3PQ1(CauKho)_Book1" xfId="700"/>
    <cellStyle name="_TG-TH_1_Qt-HT3PQ1(CauKho)_Don gia quy 3 nam 2003 - Ban Dien Luc" xfId="701"/>
    <cellStyle name="_TG-TH_1_Qt-HT3PQ1(CauKho)_Kiem Tra Don Gia" xfId="702"/>
    <cellStyle name="_TG-TH_1_Qt-HT3PQ1(CauKho)_NC-VL2-2003" xfId="703"/>
    <cellStyle name="_TG-TH_1_Qt-HT3PQ1(CauKho)_NC-VL2-2003_1" xfId="704"/>
    <cellStyle name="_TG-TH_1_Qt-HT3PQ1(CauKho)_XL4Test5" xfId="705"/>
    <cellStyle name="_TG-TH_1_QT-LCTP-AE" xfId="706"/>
    <cellStyle name="_TG-TH_1_Sheet2" xfId="707"/>
    <cellStyle name="_TG-TH_1_TEL OUT 2004" xfId="708"/>
    <cellStyle name="_TG-TH_1_Tong hop 3 tinh (11_5)-TTH-QN-QT" xfId="709"/>
    <cellStyle name="_TG-TH_1_XL4Poppy" xfId="710"/>
    <cellStyle name="_TG-TH_1_XL4Test5" xfId="711"/>
    <cellStyle name="_TG-TH_1_ÿÿÿÿÿ" xfId="712"/>
    <cellStyle name="_TG-TH_1_" xfId="713"/>
    <cellStyle name="_TG-TH_2" xfId="714"/>
    <cellStyle name="_TG-TH_2_BANG TONG HOP TINH HINH THANH QUYET TOAN (MOI I)" xfId="715"/>
    <cellStyle name="_TG-TH_2_BAO CAO KLCT PT2000" xfId="716"/>
    <cellStyle name="_TG-TH_2_BAO CAO PT2000" xfId="717"/>
    <cellStyle name="_TG-TH_2_BAO CAO PT2000_Book1" xfId="718"/>
    <cellStyle name="_TG-TH_2_Bao cao XDCB 2001 - T11 KH dieu chinh 20-11-THAI" xfId="719"/>
    <cellStyle name="_TG-TH_2_BAO GIA NGAY 24-10-08 (co dam)" xfId="720"/>
    <cellStyle name="_TG-TH_2_Biểu KH 5 năm gửi UB sửa biểu VHXH" xfId="721"/>
    <cellStyle name="_TG-TH_2_Book1" xfId="722"/>
    <cellStyle name="_TG-TH_2_Book1_1" xfId="723"/>
    <cellStyle name="_TG-TH_2_Book1_1_Book1" xfId="724"/>
    <cellStyle name="_TG-TH_2_Book1_1_DanhMucDonGiaVTTB_Dien_TAM" xfId="725"/>
    <cellStyle name="_TG-TH_2_Book1_1_khoiluongbdacdoa" xfId="726"/>
    <cellStyle name="_TG-TH_2_Book1_2" xfId="727"/>
    <cellStyle name="_TG-TH_2_Book1_2_Book1" xfId="728"/>
    <cellStyle name="_TG-TH_2_Book1_3" xfId="729"/>
    <cellStyle name="_TG-TH_2_Book1_3_Book1" xfId="730"/>
    <cellStyle name="_TG-TH_2_Book1_3_DT truong thinh phu" xfId="731"/>
    <cellStyle name="_TG-TH_2_Book1_3_XL4Test5" xfId="732"/>
    <cellStyle name="_TG-TH_2_Book1_4" xfId="733"/>
    <cellStyle name="_TG-TH_2_Book1_Book1" xfId="734"/>
    <cellStyle name="_TG-TH_2_Book1_DanhMucDonGiaVTTB_Dien_TAM" xfId="735"/>
    <cellStyle name="_TG-TH_2_Book1_khoiluongbdacdoa" xfId="737"/>
    <cellStyle name="_TG-TH_2_Book1_Kiem Tra Don Gia" xfId="736"/>
    <cellStyle name="_TG-TH_2_Book1_Tong hop 3 tinh (11_5)-TTH-QN-QT" xfId="738"/>
    <cellStyle name="_TG-TH_2_Book1_" xfId="739"/>
    <cellStyle name="_TG-TH_2_CAU Khanh Nam(Thi Cong)" xfId="740"/>
    <cellStyle name="_TG-TH_2_DAU NOI PL-CL TAI PHU LAMHC" xfId="741"/>
    <cellStyle name="_TG-TH_2_Dcdtoan-bcnckt " xfId="742"/>
    <cellStyle name="_TG-TH_2_DN_MTP" xfId="743"/>
    <cellStyle name="_TG-TH_2_Dongia2-2003" xfId="744"/>
    <cellStyle name="_TG-TH_2_Dongia2-2003_DT truong thinh phu" xfId="745"/>
    <cellStyle name="_TG-TH_2_DT truong thinh phu" xfId="746"/>
    <cellStyle name="_TG-TH_2_DTCDT MR.2N110.HOCMON.TDTOAN.CCUNG" xfId="747"/>
    <cellStyle name="_TG-TH_2_DTDuong dong tien -sua tham tra 2009 - luong 650" xfId="748"/>
    <cellStyle name="_TG-TH_2_DU TRU VAT TU" xfId="749"/>
    <cellStyle name="_TG-TH_2_khoiluongbdacdoa" xfId="751"/>
    <cellStyle name="_TG-TH_2_Kiem Tra Don Gia" xfId="750"/>
    <cellStyle name="_TG-TH_2_Lora-tungchau" xfId="752"/>
    <cellStyle name="_TG-TH_2_moi" xfId="753"/>
    <cellStyle name="_TG-TH_2_PGIA-phieu tham tra Kho bac" xfId="754"/>
    <cellStyle name="_TG-TH_2_PT02-02" xfId="755"/>
    <cellStyle name="_TG-TH_2_PT02-02_Book1" xfId="756"/>
    <cellStyle name="_TG-TH_2_PT02-03" xfId="757"/>
    <cellStyle name="_TG-TH_2_PT02-03_Book1" xfId="758"/>
    <cellStyle name="_TG-TH_2_Qt-HT3PQ1(CauKho)" xfId="759"/>
    <cellStyle name="_TG-TH_2_Qt-HT3PQ1(CauKho)_Book1" xfId="760"/>
    <cellStyle name="_TG-TH_2_Qt-HT3PQ1(CauKho)_Don gia quy 3 nam 2003 - Ban Dien Luc" xfId="761"/>
    <cellStyle name="_TG-TH_2_Qt-HT3PQ1(CauKho)_Kiem Tra Don Gia" xfId="762"/>
    <cellStyle name="_TG-TH_2_Qt-HT3PQ1(CauKho)_NC-VL2-2003" xfId="763"/>
    <cellStyle name="_TG-TH_2_Qt-HT3PQ1(CauKho)_NC-VL2-2003_1" xfId="764"/>
    <cellStyle name="_TG-TH_2_Qt-HT3PQ1(CauKho)_XL4Test5" xfId="765"/>
    <cellStyle name="_TG-TH_2_QT-LCTP-AE" xfId="766"/>
    <cellStyle name="_TG-TH_2_quy luong con lai nam 2004" xfId="767"/>
    <cellStyle name="_TG-TH_2_Sheet2" xfId="768"/>
    <cellStyle name="_TG-TH_2_TEL OUT 2004" xfId="769"/>
    <cellStyle name="_TG-TH_2_Tong hop 3 tinh (11_5)-TTH-QN-QT" xfId="770"/>
    <cellStyle name="_TG-TH_2_XL4Poppy" xfId="771"/>
    <cellStyle name="_TG-TH_2_XL4Test5" xfId="772"/>
    <cellStyle name="_TG-TH_2_ÿÿÿÿÿ" xfId="773"/>
    <cellStyle name="_TG-TH_2_" xfId="774"/>
    <cellStyle name="_TG-TH_3" xfId="775"/>
    <cellStyle name="_TG-TH_3_Book1" xfId="776"/>
    <cellStyle name="_TG-TH_3_Lora-tungchau" xfId="777"/>
    <cellStyle name="_TG-TH_3_Qt-HT3PQ1(CauKho)" xfId="778"/>
    <cellStyle name="_TG-TH_3_Qt-HT3PQ1(CauKho)_Book1" xfId="779"/>
    <cellStyle name="_TG-TH_3_Qt-HT3PQ1(CauKho)_Don gia quy 3 nam 2003 - Ban Dien Luc" xfId="780"/>
    <cellStyle name="_TG-TH_3_Qt-HT3PQ1(CauKho)_Kiem Tra Don Gia" xfId="781"/>
    <cellStyle name="_TG-TH_3_Qt-HT3PQ1(CauKho)_NC-VL2-2003" xfId="782"/>
    <cellStyle name="_TG-TH_3_Qt-HT3PQ1(CauKho)_NC-VL2-2003_1" xfId="783"/>
    <cellStyle name="_TG-TH_3_Qt-HT3PQ1(CauKho)_XL4Test5" xfId="784"/>
    <cellStyle name="_TG-TH_3_quy luong con lai nam 2004" xfId="785"/>
    <cellStyle name="_TG-TH_3_" xfId="786"/>
    <cellStyle name="_TG-TH_4" xfId="787"/>
    <cellStyle name="_TG-TH_4_Book1" xfId="788"/>
    <cellStyle name="_TG-TH_4_DTDuong dong tien -sua tham tra 2009 - luong 650" xfId="789"/>
    <cellStyle name="_TG-TH_4_quy luong con lai nam 2004" xfId="790"/>
    <cellStyle name="_TH KHAI TOAN THU THIEM cac tuyen TT noi" xfId="795"/>
    <cellStyle name="_TKP" xfId="791"/>
    <cellStyle name="_Tong dutoan PP LAHAI" xfId="792"/>
    <cellStyle name="_Tong hop 3 tinh (11_5)-TTH-QN-QT" xfId="793"/>
    <cellStyle name="_Tong hop may cheu nganh 1" xfId="794"/>
    <cellStyle name="_ung 2011 - 11-6-Thanh hoa-Nghe an" xfId="796"/>
    <cellStyle name="_ung truoc 2011 NSTW Thanh Hoa + Nge An gui Thu 12-5" xfId="797"/>
    <cellStyle name="_ung truoc cua long an (6-5-2010)" xfId="798"/>
    <cellStyle name="_ung von chinh thuc doan kiem tra TAY NAM BO" xfId="799"/>
    <cellStyle name="_Ung von nam 2011 vung TNB - Doan Cong tac (12-5-2010)" xfId="800"/>
    <cellStyle name="_Ung von nam 2011 vung TNB - Doan Cong tac (12-5-2010)_Copy of ghep 3 bieu trinh LD BO 28-6 (TPCP)" xfId="801"/>
    <cellStyle name="_ÿÿÿÿÿ" xfId="802"/>
    <cellStyle name="_ÿÿÿÿÿ_Kh ql62 (2010) 11-09" xfId="803"/>
    <cellStyle name="_" xfId="804"/>
    <cellStyle name="__1" xfId="805"/>
    <cellStyle name="__Bao gia TB Kon Dao 2010" xfId="806"/>
    <cellStyle name="~1" xfId="807"/>
    <cellStyle name="_x0001_¨c^ " xfId="8"/>
    <cellStyle name="_x0001_¨c^[" xfId="9"/>
    <cellStyle name="_x0001_¨c^_" xfId="10"/>
    <cellStyle name="_x0001_¨Œc^ " xfId="11"/>
    <cellStyle name="_x0001_¨Œc^[" xfId="12"/>
    <cellStyle name="_x0001_¨Œc^_" xfId="13"/>
    <cellStyle name="’Ê‰Ý [0.00]_laroux" xfId="808"/>
    <cellStyle name="’Ê‰Ý_laroux" xfId="809"/>
    <cellStyle name="_x0001_µÑTÖ " xfId="14"/>
    <cellStyle name="_x0001_µÑTÖ_" xfId="15"/>
    <cellStyle name="•W?_Format" xfId="810"/>
    <cellStyle name="•W€_¯–ì" xfId="811"/>
    <cellStyle name="•W_¯–ì" xfId="812"/>
    <cellStyle name="W_MARINE" xfId="813"/>
    <cellStyle name="0" xfId="814"/>
    <cellStyle name="0.0" xfId="815"/>
    <cellStyle name="0.00" xfId="816"/>
    <cellStyle name="1" xfId="16"/>
    <cellStyle name="1_1 Bieu 6 thang nam 2011" xfId="817"/>
    <cellStyle name="1_17 bieu (hung cap nhap)" xfId="818"/>
    <cellStyle name="1_2008_OANH_LUC_TAN" xfId="819"/>
    <cellStyle name="1_7 noi 48 goi C5 9 vi na" xfId="820"/>
    <cellStyle name="1_BANG KE VAT TU" xfId="821"/>
    <cellStyle name="1_Bao cao doan cong tac cua Bo thang 4-2010" xfId="822"/>
    <cellStyle name="1_Bao cao giai ngan von dau tu nam 2009 (theo doi)" xfId="823"/>
    <cellStyle name="1_Bao cao giai ngan von dau tu nam 2009 (theo doi)_Bao cao doan cong tac cua Bo thang 4-2010" xfId="824"/>
    <cellStyle name="1_Bao cao giai ngan von dau tu nam 2009 (theo doi)_Bao cao tinh hinh thuc hien KH 2009 den 31-01-10" xfId="825"/>
    <cellStyle name="1_Bao cao giai ngan von dau tu nam 2009 (theo doi)_Book1" xfId="826"/>
    <cellStyle name="1_Bao cao giai ngan von dau tu nam 2009 (theo doi)_DK bo tri lai (chinh thuc)" xfId="827"/>
    <cellStyle name="1_Bao cao giai ngan von dau tu nam 2009 (theo doi)_Ke hoach 2009 (theo doi) -1" xfId="828"/>
    <cellStyle name="1_Bao cao giai ngan von dau tu nam 2009 (theo doi)_Ke hoach 2009 (theo doi) -1_Bao cao tinh hinh thuc hien KH 2009 den 31-01-10" xfId="829"/>
    <cellStyle name="1_Bao cao giai ngan von dau tu nam 2009 (theo doi)_Ke hoach 2009 (theo doi) -1_Book1" xfId="830"/>
    <cellStyle name="1_Bao cao giai ngan von dau tu nam 2009 (theo doi)_Ke hoach 2009 (theo doi) -1_Tong hop theo doi von TPCP (BC)" xfId="831"/>
    <cellStyle name="1_Bao cao giai ngan von dau tu nam 2009 (theo doi)_Ke hoach 2010 (theo doi)" xfId="832"/>
    <cellStyle name="1_Bao cao giai ngan von dau tu nam 2009 (theo doi)_Tong hop theo doi von TPCP (BC)" xfId="833"/>
    <cellStyle name="1_Bao cao KP tu chu" xfId="834"/>
    <cellStyle name="1_Bao cao KP tu chu_Bao cao tinh hinh thuc hien KH 2009 den 31-01-10" xfId="835"/>
    <cellStyle name="1_Bao cao tinh hinh thuc hien KH 2009 den 31-01-10" xfId="836"/>
    <cellStyle name="1_BAO GIA NGAY 24-10-08 (co dam)" xfId="837"/>
    <cellStyle name="1_Bao gia TB Kon Dao 2010" xfId="838"/>
    <cellStyle name="1_BC 2010 ve CT trong diem (5nam)" xfId="839"/>
    <cellStyle name="1_BC 8 thang 2009 ve CT trong diem 5nam" xfId="840"/>
    <cellStyle name="1_BC 8 thang 2009 ve CT trong diem 5nam_1 Bieu 6 thang nam 2011" xfId="841"/>
    <cellStyle name="1_BC 8 thang 2009 ve CT trong diem 5nam_bao cao cuoi thang 5 nam 2017" xfId="842"/>
    <cellStyle name="1_BC 8 thang 2009 ve CT trong diem 5nam_Bao cao doan cong tac cua Bo thang 4-2010" xfId="843"/>
    <cellStyle name="1_BC 8 thang 2009 ve CT trong diem 5nam_BC cong trinh trong diem" xfId="844"/>
    <cellStyle name="1_BC 8 thang 2009 ve CT trong diem 5nam_BC cong trinh trong diem_Bieu 6 thang nam 2012 (binh)" xfId="845"/>
    <cellStyle name="1_BC 8 thang 2009 ve CT trong diem 5nam_bieu 01" xfId="846"/>
    <cellStyle name="1_BC 8 thang 2009 ve CT trong diem 5nam_bieu 01_Bao cao doan cong tac cua Bo thang 4-2010" xfId="847"/>
    <cellStyle name="1_BC 8 thang 2009 ve CT trong diem 5nam_bieu 01_Book1" xfId="848"/>
    <cellStyle name="1_BC 8 thang 2009 ve CT trong diem 5nam_bieu 01_Ke hoach 2010 (theo doi)" xfId="849"/>
    <cellStyle name="1_BC 8 thang 2009 ve CT trong diem 5nam_Book1" xfId="850"/>
    <cellStyle name="1_BC 8 thang 2009 ve CT trong diem 5nam_Danh muc cong trinh trong diem (04.5.12) (1)" xfId="851"/>
    <cellStyle name="1_BC 8 thang 2009 ve CT trong diem 5nam_Danh muc cong trinh trong diem (15.8.11)" xfId="852"/>
    <cellStyle name="1_BC 8 thang 2009 ve CT trong diem 5nam_Danh muc cong trinh trong diem (25.5.12)" xfId="853"/>
    <cellStyle name="1_BC 8 thang 2009 ve CT trong diem 5nam_Danh muc cong trinh trong diem (25.9.11)" xfId="854"/>
    <cellStyle name="1_BC 8 thang 2009 ve CT trong diem 5nam_Danh muc cong trinh trong diem (31.8.11)" xfId="855"/>
    <cellStyle name="1_BC 8 thang 2009 ve CT trong diem 5nam_Ke hoach 2010 (theo doi)" xfId="856"/>
    <cellStyle name="1_BC 8 thang 2009 ve CT trong diem 5nam_Ke hoach 2012" xfId="857"/>
    <cellStyle name="1_BC 8 thang 2009 ve CT trong diem 5nam_Phu vuc LV bo" xfId="859"/>
    <cellStyle name="1_BC 8 thang 2009 ve CT trong diem 5nam_Phu vuc LV bo_BC cong trinh trong diem" xfId="860"/>
    <cellStyle name="1_BC 8 thang 2009 ve CT trong diem 5nam_Phu vuc LV bo_BC cong trinh trong diem_Bieu 6 thang nam 2012 (binh)" xfId="861"/>
    <cellStyle name="1_BC 8 thang 2009 ve CT trong diem 5nam_Phu vuc LV bo_Danh muc cong trinh trong diem (04.5.12) (1)" xfId="862"/>
    <cellStyle name="1_BC 8 thang 2009 ve CT trong diem 5nam_Phu vuc LV bo_Danh muc cong trinh trong diem (15.8.11)" xfId="863"/>
    <cellStyle name="1_BC 8 thang 2009 ve CT trong diem 5nam_Phu vuc LV bo_Danh muc cong trinh trong diem (25.5.12)" xfId="864"/>
    <cellStyle name="1_BC 8 thang 2009 ve CT trong diem 5nam_Phu vuc LV bo_Danh muc cong trinh trong diem (25.9.11)" xfId="865"/>
    <cellStyle name="1_BC 8 thang 2009 ve CT trong diem 5nam_Phu vuc LV bo_Danh muc cong trinh trong diem (31.8.11)" xfId="866"/>
    <cellStyle name="1_BC 8 thang 2009 ve CT trong diem 5nam_Phu vuc LV bo_pvhung.skhdt 20117113152041 Danh muc cong trinh trong diem" xfId="867"/>
    <cellStyle name="1_BC 8 thang 2009 ve CT trong diem 5nam_pvhung.skhdt 20117113152041 Danh muc cong trinh trong diem" xfId="858"/>
    <cellStyle name="1_BC 8 thang 2009 ve CT trong diem 5nam_Tong hop so lieu" xfId="868"/>
    <cellStyle name="1_BC 8 thang 2009 ve CT trong diem 5nam_Tong hop so lieu_BC cong trinh trong diem" xfId="869"/>
    <cellStyle name="1_BC 8 thang 2009 ve CT trong diem 5nam_Tong hop so lieu_BC cong trinh trong diem_Bieu 6 thang nam 2012 (binh)" xfId="870"/>
    <cellStyle name="1_BC 8 thang 2009 ve CT trong diem 5nam_Tong hop so lieu_Danh muc cong trinh trong diem (04.5.12) (1)" xfId="871"/>
    <cellStyle name="1_BC 8 thang 2009 ve CT trong diem 5nam_Tong hop so lieu_Danh muc cong trinh trong diem (15.8.11)" xfId="872"/>
    <cellStyle name="1_BC 8 thang 2009 ve CT trong diem 5nam_Tong hop so lieu_Danh muc cong trinh trong diem (25.5.12)" xfId="873"/>
    <cellStyle name="1_BC 8 thang 2009 ve CT trong diem 5nam_Tong hop so lieu_Danh muc cong trinh trong diem (25.9.11)" xfId="874"/>
    <cellStyle name="1_BC 8 thang 2009 ve CT trong diem 5nam_Tong hop so lieu_Danh muc cong trinh trong diem (31.8.11)" xfId="875"/>
    <cellStyle name="1_BC 8 thang 2009 ve CT trong diem 5nam_Tong hop so lieu_pvhung.skhdt 20117113152041 Danh muc cong trinh trong diem" xfId="876"/>
    <cellStyle name="1_BC cong trinh trong diem" xfId="877"/>
    <cellStyle name="1_BC cong trinh trong diem_Bieu 6 thang nam 2012 (binh)" xfId="878"/>
    <cellStyle name="1_BC nam 2007 (UB)" xfId="879"/>
    <cellStyle name="1_BC nam 2007 (UB)_1 Bieu 6 thang nam 2011" xfId="880"/>
    <cellStyle name="1_BC nam 2007 (UB)_bao cao cuoi thang 5 nam 2017" xfId="881"/>
    <cellStyle name="1_BC nam 2007 (UB)_Bao cao doan cong tac cua Bo thang 4-2010" xfId="882"/>
    <cellStyle name="1_BC nam 2007 (UB)_Bao cao tinh hinh thuc hien KH 2009 den 31-01-10" xfId="883"/>
    <cellStyle name="1_BC nam 2007 (UB)_BC cong trinh trong diem" xfId="884"/>
    <cellStyle name="1_BC nam 2007 (UB)_BC cong trinh trong diem_Bieu 6 thang nam 2012 (binh)" xfId="885"/>
    <cellStyle name="1_BC nam 2007 (UB)_Book1" xfId="886"/>
    <cellStyle name="1_BC nam 2007 (UB)_Chi tieu 5 nam" xfId="887"/>
    <cellStyle name="1_BC nam 2007 (UB)_Chi tieu 5 nam_BC cong trinh trong diem" xfId="888"/>
    <cellStyle name="1_BC nam 2007 (UB)_Chi tieu 5 nam_BC cong trinh trong diem_Bieu 6 thang nam 2012 (binh)" xfId="889"/>
    <cellStyle name="1_BC nam 2007 (UB)_Chi tieu 5 nam_Danh muc cong trinh trong diem (04.5.12) (1)" xfId="890"/>
    <cellStyle name="1_BC nam 2007 (UB)_Chi tieu 5 nam_Danh muc cong trinh trong diem (15.8.11)" xfId="891"/>
    <cellStyle name="1_BC nam 2007 (UB)_Chi tieu 5 nam_Danh muc cong trinh trong diem (25.5.12)" xfId="892"/>
    <cellStyle name="1_BC nam 2007 (UB)_Chi tieu 5 nam_Danh muc cong trinh trong diem (25.9.11)" xfId="893"/>
    <cellStyle name="1_BC nam 2007 (UB)_Chi tieu 5 nam_Danh muc cong trinh trong diem (31.8.11)" xfId="894"/>
    <cellStyle name="1_BC nam 2007 (UB)_Chi tieu 5 nam_pvhung.skhdt 20117113152041 Danh muc cong trinh trong diem" xfId="895"/>
    <cellStyle name="1_BC nam 2007 (UB)_Danh muc cong trinh trong diem (04.5.12) (1)" xfId="896"/>
    <cellStyle name="1_BC nam 2007 (UB)_Danh muc cong trinh trong diem (15.8.11)" xfId="897"/>
    <cellStyle name="1_BC nam 2007 (UB)_Danh muc cong trinh trong diem (25.5.12)" xfId="898"/>
    <cellStyle name="1_BC nam 2007 (UB)_Danh muc cong trinh trong diem (25.9.11)" xfId="899"/>
    <cellStyle name="1_BC nam 2007 (UB)_Danh muc cong trinh trong diem (31.8.11)" xfId="900"/>
    <cellStyle name="1_BC nam 2007 (UB)_DK bo tri lai (chinh thuc)" xfId="901"/>
    <cellStyle name="1_BC nam 2007 (UB)_Ke hoach 2010 (theo doi)" xfId="902"/>
    <cellStyle name="1_BC nam 2007 (UB)_Ke hoach 2012" xfId="903"/>
    <cellStyle name="1_BC nam 2007 (UB)_pvhung.skhdt 20117113152041 Danh muc cong trinh trong diem" xfId="904"/>
    <cellStyle name="1_BC nam 2007 (UB)_Tong hop so lieu" xfId="905"/>
    <cellStyle name="1_BC nam 2007 (UB)_Tong hop so lieu_BC cong trinh trong diem" xfId="906"/>
    <cellStyle name="1_BC nam 2007 (UB)_Tong hop so lieu_BC cong trinh trong diem_Bieu 6 thang nam 2012 (binh)" xfId="907"/>
    <cellStyle name="1_BC nam 2007 (UB)_Tong hop so lieu_Danh muc cong trinh trong diem (04.5.12) (1)" xfId="908"/>
    <cellStyle name="1_BC nam 2007 (UB)_Tong hop so lieu_Danh muc cong trinh trong diem (15.8.11)" xfId="909"/>
    <cellStyle name="1_BC nam 2007 (UB)_Tong hop so lieu_Danh muc cong trinh trong diem (25.5.12)" xfId="910"/>
    <cellStyle name="1_BC nam 2007 (UB)_Tong hop so lieu_Danh muc cong trinh trong diem (25.9.11)" xfId="911"/>
    <cellStyle name="1_BC nam 2007 (UB)_Tong hop so lieu_Danh muc cong trinh trong diem (31.8.11)" xfId="912"/>
    <cellStyle name="1_BC nam 2007 (UB)_Tong hop so lieu_pvhung.skhdt 20117113152041 Danh muc cong trinh trong diem" xfId="913"/>
    <cellStyle name="1_BC nam 2007 (UB)_Tong hop theo doi von TPCP (BC)" xfId="914"/>
    <cellStyle name="1_BC TAI CHINH" xfId="915"/>
    <cellStyle name="1_BC-tuchu-07DRVdinh" xfId="916"/>
    <cellStyle name="1_bieu tong hop" xfId="917"/>
    <cellStyle name="1_Bieu1" xfId="918"/>
    <cellStyle name="1_Book1" xfId="17"/>
    <cellStyle name="1_Book1 2" xfId="919"/>
    <cellStyle name="1_Book1_1" xfId="920"/>
    <cellStyle name="1_Book1_1 Bieu 6 thang nam 2011" xfId="921"/>
    <cellStyle name="1_Book1_1_Bao cao tinh hinh thuc hien KH 2009 den 31-01-10" xfId="922"/>
    <cellStyle name="1_Book1_1_Book1" xfId="923"/>
    <cellStyle name="1_Book1_1_Tong hop theo doi von TPCP (BC)" xfId="924"/>
    <cellStyle name="1_Book1_1_VBPL kiểm toán Đầu tư XDCB 2010" xfId="925"/>
    <cellStyle name="1_Book1_2" xfId="926"/>
    <cellStyle name="1_Book1_bao cao cuoi thang 5 nam 2017" xfId="927"/>
    <cellStyle name="1_Book1_Bao cao doan cong tac cua Bo thang 4-2010" xfId="928"/>
    <cellStyle name="1_Book1_Bao cao tinh hinh thuc hien KH 2009 den 31-01-10" xfId="929"/>
    <cellStyle name="1_Book1_BC cong trinh trong diem" xfId="930"/>
    <cellStyle name="1_Book1_BC cong trinh trong diem_Bieu 6 thang nam 2012 (binh)" xfId="931"/>
    <cellStyle name="1_Book1_BL vu" xfId="932"/>
    <cellStyle name="1_Book1_BL vu_Bao cao tinh hinh thuc hien KH 2009 den 31-01-10" xfId="933"/>
    <cellStyle name="1_Book1_Book1" xfId="934"/>
    <cellStyle name="1_Book1_Book1_1" xfId="935"/>
    <cellStyle name="1_Book1_Book1_Bao cao tinh hinh thuc hien KH 2009 den 31-01-10" xfId="936"/>
    <cellStyle name="1_Book1_Book1_Book1" xfId="937"/>
    <cellStyle name="1_Book1_Book1_Tong hop theo doi von TPCP (BC)" xfId="938"/>
    <cellStyle name="1_Book1_Chi tieu 5 nam" xfId="939"/>
    <cellStyle name="1_Book1_Chi tieu 5 nam_BC cong trinh trong diem" xfId="940"/>
    <cellStyle name="1_Book1_Chi tieu 5 nam_BC cong trinh trong diem_Bieu 6 thang nam 2012 (binh)" xfId="941"/>
    <cellStyle name="1_Book1_Chi tieu 5 nam_Danh muc cong trinh trong diem (04.5.12) (1)" xfId="942"/>
    <cellStyle name="1_Book1_Chi tieu 5 nam_Danh muc cong trinh trong diem (15.8.11)" xfId="943"/>
    <cellStyle name="1_Book1_Chi tieu 5 nam_Danh muc cong trinh trong diem (25.5.12)" xfId="944"/>
    <cellStyle name="1_Book1_Chi tieu 5 nam_Danh muc cong trinh trong diem (25.9.11)" xfId="945"/>
    <cellStyle name="1_Book1_Chi tieu 5 nam_Danh muc cong trinh trong diem (31.8.11)" xfId="946"/>
    <cellStyle name="1_Book1_Chi tieu 5 nam_pvhung.skhdt 20117113152041 Danh muc cong trinh trong diem" xfId="947"/>
    <cellStyle name="1_Book1_Danh muc cong trinh trong diem (04.5.12) (1)" xfId="948"/>
    <cellStyle name="1_Book1_Danh muc cong trinh trong diem (15.8.11)" xfId="949"/>
    <cellStyle name="1_Book1_Danh muc cong trinh trong diem (25.5.12)" xfId="950"/>
    <cellStyle name="1_Book1_Danh muc cong trinh trong diem (25.9.11)" xfId="951"/>
    <cellStyle name="1_Book1_Danh muc cong trinh trong diem (31.8.11)" xfId="952"/>
    <cellStyle name="1_Book1_DK bo tri lai (chinh thuc)" xfId="953"/>
    <cellStyle name="1_Book1_Gia - Thanh An" xfId="954"/>
    <cellStyle name="1_Book1_Ke hoach 2010 (theo doi)" xfId="955"/>
    <cellStyle name="1_Book1_Ke hoach 2012" xfId="956"/>
    <cellStyle name="1_Book1_pvhung.skhdt 20117113152041 Danh muc cong trinh trong diem" xfId="957"/>
    <cellStyle name="1_Book1_Tong hop so lieu" xfId="958"/>
    <cellStyle name="1_Book1_Tong hop so lieu_BC cong trinh trong diem" xfId="959"/>
    <cellStyle name="1_Book1_Tong hop so lieu_BC cong trinh trong diem_Bieu 6 thang nam 2012 (binh)" xfId="960"/>
    <cellStyle name="1_Book1_Tong hop so lieu_Danh muc cong trinh trong diem (04.5.12) (1)" xfId="961"/>
    <cellStyle name="1_Book1_Tong hop so lieu_Danh muc cong trinh trong diem (15.8.11)" xfId="962"/>
    <cellStyle name="1_Book1_Tong hop so lieu_Danh muc cong trinh trong diem (25.5.12)" xfId="963"/>
    <cellStyle name="1_Book1_Tong hop so lieu_Danh muc cong trinh trong diem (25.9.11)" xfId="964"/>
    <cellStyle name="1_Book1_Tong hop so lieu_Danh muc cong trinh trong diem (31.8.11)" xfId="965"/>
    <cellStyle name="1_Book1_Tong hop so lieu_pvhung.skhdt 20117113152041 Danh muc cong trinh trong diem" xfId="966"/>
    <cellStyle name="1_Book1_Tong hop theo doi von TPCP (BC)" xfId="967"/>
    <cellStyle name="1_Book1_VBPL kiểm toán Đầu tư XDCB 2010" xfId="968"/>
    <cellStyle name="1_Book2" xfId="969"/>
    <cellStyle name="1_Book2_1 Bieu 6 thang nam 2011" xfId="970"/>
    <cellStyle name="1_Book2_bao cao cuoi thang 5 nam 2017" xfId="971"/>
    <cellStyle name="1_Book2_Bao cao doan cong tac cua Bo thang 4-2010" xfId="972"/>
    <cellStyle name="1_Book2_Bao cao tinh hinh thuc hien KH 2009 den 31-01-10" xfId="973"/>
    <cellStyle name="1_Book2_BC cong trinh trong diem" xfId="974"/>
    <cellStyle name="1_Book2_BC cong trinh trong diem_Bieu 6 thang nam 2012 (binh)" xfId="975"/>
    <cellStyle name="1_Book2_Book1" xfId="976"/>
    <cellStyle name="1_Book2_Chi tieu 5 nam" xfId="977"/>
    <cellStyle name="1_Book2_Chi tieu 5 nam_BC cong trinh trong diem" xfId="978"/>
    <cellStyle name="1_Book2_Chi tieu 5 nam_BC cong trinh trong diem_Bieu 6 thang nam 2012 (binh)" xfId="979"/>
    <cellStyle name="1_Book2_Chi tieu 5 nam_Danh muc cong trinh trong diem (04.5.12) (1)" xfId="980"/>
    <cellStyle name="1_Book2_Chi tieu 5 nam_Danh muc cong trinh trong diem (15.8.11)" xfId="981"/>
    <cellStyle name="1_Book2_Chi tieu 5 nam_Danh muc cong trinh trong diem (25.5.12)" xfId="982"/>
    <cellStyle name="1_Book2_Chi tieu 5 nam_Danh muc cong trinh trong diem (25.9.11)" xfId="983"/>
    <cellStyle name="1_Book2_Chi tieu 5 nam_Danh muc cong trinh trong diem (31.8.11)" xfId="984"/>
    <cellStyle name="1_Book2_Chi tieu 5 nam_pvhung.skhdt 20117113152041 Danh muc cong trinh trong diem" xfId="985"/>
    <cellStyle name="1_Book2_Danh muc cong trinh trong diem (04.5.12) (1)" xfId="986"/>
    <cellStyle name="1_Book2_Danh muc cong trinh trong diem (15.8.11)" xfId="987"/>
    <cellStyle name="1_Book2_Danh muc cong trinh trong diem (25.5.12)" xfId="988"/>
    <cellStyle name="1_Book2_Danh muc cong trinh trong diem (25.9.11)" xfId="989"/>
    <cellStyle name="1_Book2_Danh muc cong trinh trong diem (31.8.11)" xfId="990"/>
    <cellStyle name="1_Book2_DK bo tri lai (chinh thuc)" xfId="991"/>
    <cellStyle name="1_Book2_Ke hoach 2010 (theo doi)" xfId="992"/>
    <cellStyle name="1_Book2_Ke hoach 2012" xfId="993"/>
    <cellStyle name="1_Book2_pvhung.skhdt 20117113152041 Danh muc cong trinh trong diem" xfId="994"/>
    <cellStyle name="1_Book2_Tong hop so lieu" xfId="995"/>
    <cellStyle name="1_Book2_Tong hop so lieu_BC cong trinh trong diem" xfId="996"/>
    <cellStyle name="1_Book2_Tong hop so lieu_BC cong trinh trong diem_Bieu 6 thang nam 2012 (binh)" xfId="997"/>
    <cellStyle name="1_Book2_Tong hop so lieu_Danh muc cong trinh trong diem (04.5.12) (1)" xfId="998"/>
    <cellStyle name="1_Book2_Tong hop so lieu_Danh muc cong trinh trong diem (15.8.11)" xfId="999"/>
    <cellStyle name="1_Book2_Tong hop so lieu_Danh muc cong trinh trong diem (25.5.12)" xfId="1000"/>
    <cellStyle name="1_Book2_Tong hop so lieu_Danh muc cong trinh trong diem (25.9.11)" xfId="1001"/>
    <cellStyle name="1_Book2_Tong hop so lieu_Danh muc cong trinh trong diem (31.8.11)" xfId="1002"/>
    <cellStyle name="1_Book2_Tong hop so lieu_pvhung.skhdt 20117113152041 Danh muc cong trinh trong diem" xfId="1003"/>
    <cellStyle name="1_Book2_Tong hop theo doi von TPCP (BC)" xfId="1004"/>
    <cellStyle name="1_Cau thuy dien Ban La (Cu Anh)" xfId="1005"/>
    <cellStyle name="1_Chi tieu 5 nam" xfId="1008"/>
    <cellStyle name="1_Chi tieu 5 nam_BC cong trinh trong diem" xfId="1009"/>
    <cellStyle name="1_Chi tieu 5 nam_BC cong trinh trong diem_Bieu 6 thang nam 2012 (binh)" xfId="1010"/>
    <cellStyle name="1_Chi tieu 5 nam_Danh muc cong trinh trong diem (04.5.12) (1)" xfId="1011"/>
    <cellStyle name="1_Chi tieu 5 nam_Danh muc cong trinh trong diem (15.8.11)" xfId="1012"/>
    <cellStyle name="1_Chi tieu 5 nam_Danh muc cong trinh trong diem (25.5.12)" xfId="1013"/>
    <cellStyle name="1_Chi tieu 5 nam_Danh muc cong trinh trong diem (25.9.11)" xfId="1014"/>
    <cellStyle name="1_Chi tieu 5 nam_Danh muc cong trinh trong diem (31.8.11)" xfId="1015"/>
    <cellStyle name="1_Chi tieu 5 nam_pvhung.skhdt 20117113152041 Danh muc cong trinh trong diem" xfId="1016"/>
    <cellStyle name="1_Co TC 2008" xfId="1006"/>
    <cellStyle name="1_Copy of ghep 3 bieu trinh LD BO 28-6 (TPCP)" xfId="1007"/>
    <cellStyle name="1_Danh muc cong trinh trong diem (04.5.12) (1)" xfId="1017"/>
    <cellStyle name="1_Danh muc cong trinh trong diem (15.8.11)" xfId="1018"/>
    <cellStyle name="1_Danh muc cong trinh trong diem (25.5.12)" xfId="1019"/>
    <cellStyle name="1_Danh muc cong trinh trong diem (25.9.11)" xfId="1020"/>
    <cellStyle name="1_Danh muc cong trinh trong diem (31.8.11)" xfId="1021"/>
    <cellStyle name="1_Danh sach gui BC thuc hien KH2009" xfId="1022"/>
    <cellStyle name="1_Danh sach gui BC thuc hien KH2009_Bao cao doan cong tac cua Bo thang 4-2010" xfId="1023"/>
    <cellStyle name="1_Danh sach gui BC thuc hien KH2009_Bao cao tinh hinh thuc hien KH 2009 den 31-01-10" xfId="1024"/>
    <cellStyle name="1_Danh sach gui BC thuc hien KH2009_Book1" xfId="1025"/>
    <cellStyle name="1_Danh sach gui BC thuc hien KH2009_DK bo tri lai (chinh thuc)" xfId="1026"/>
    <cellStyle name="1_Danh sach gui BC thuc hien KH2009_Ke hoach 2009 (theo doi) -1" xfId="1027"/>
    <cellStyle name="1_Danh sach gui BC thuc hien KH2009_Ke hoach 2009 (theo doi) -1_Bao cao tinh hinh thuc hien KH 2009 den 31-01-10" xfId="1028"/>
    <cellStyle name="1_Danh sach gui BC thuc hien KH2009_Ke hoach 2009 (theo doi) -1_Book1" xfId="1029"/>
    <cellStyle name="1_Danh sach gui BC thuc hien KH2009_Ke hoach 2009 (theo doi) -1_Tong hop theo doi von TPCP (BC)" xfId="1030"/>
    <cellStyle name="1_Danh sach gui BC thuc hien KH2009_Ke hoach 2010 (theo doi)" xfId="1031"/>
    <cellStyle name="1_Danh sach gui BC thuc hien KH2009_Tong hop theo doi von TPCP (BC)" xfId="1032"/>
    <cellStyle name="1_DK bo tri lai (chinh thuc)" xfId="1033"/>
    <cellStyle name="1_Don gia Du thau ( XL19)" xfId="1034"/>
    <cellStyle name="1_Don gia Du thau ( XL19)_Bao cao tinh hinh thuc hien KH 2009 den 31-01-10" xfId="1035"/>
    <cellStyle name="1_Don gia Du thau ( XL19)_Book1" xfId="1036"/>
    <cellStyle name="1_Don gia Du thau ( XL19)_Tong hop theo doi von TPCP (BC)" xfId="1037"/>
    <cellStyle name="1_DT972000" xfId="1038"/>
    <cellStyle name="1_dtCau Km3+429,21TL685" xfId="1039"/>
    <cellStyle name="1_Dtdchinh2397" xfId="1040"/>
    <cellStyle name="1_Du thau" xfId="1043"/>
    <cellStyle name="1_Du toan 558 (Km17+508.12 - Km 22)" xfId="1041"/>
    <cellStyle name="1_du toan lan 3" xfId="1042"/>
    <cellStyle name="1_Gia - Thanh An" xfId="1044"/>
    <cellStyle name="1_Gia_VLQL48_duyet " xfId="1045"/>
    <cellStyle name="1_GIA-DUTHAUsuaNS" xfId="1046"/>
    <cellStyle name="1_Ke hoach 2010 (theo doi)" xfId="1047"/>
    <cellStyle name="1_Ke hoach 2012" xfId="1048"/>
    <cellStyle name="1_KH 2007 (theo doi)" xfId="1052"/>
    <cellStyle name="1_KH 2007 (theo doi)_1 Bieu 6 thang nam 2011" xfId="1053"/>
    <cellStyle name="1_KH 2007 (theo doi)_bao cao cuoi thang 5 nam 2017" xfId="1054"/>
    <cellStyle name="1_KH 2007 (theo doi)_Bao cao doan cong tac cua Bo thang 4-2010" xfId="1055"/>
    <cellStyle name="1_KH 2007 (theo doi)_Bao cao tinh hinh thuc hien KH 2009 den 31-01-10" xfId="1056"/>
    <cellStyle name="1_KH 2007 (theo doi)_BC cong trinh trong diem" xfId="1057"/>
    <cellStyle name="1_KH 2007 (theo doi)_BC cong trinh trong diem_Bieu 6 thang nam 2012 (binh)" xfId="1058"/>
    <cellStyle name="1_KH 2007 (theo doi)_Book1" xfId="1059"/>
    <cellStyle name="1_KH 2007 (theo doi)_Chi tieu 5 nam" xfId="1060"/>
    <cellStyle name="1_KH 2007 (theo doi)_Chi tieu 5 nam_BC cong trinh trong diem" xfId="1061"/>
    <cellStyle name="1_KH 2007 (theo doi)_Chi tieu 5 nam_BC cong trinh trong diem_Bieu 6 thang nam 2012 (binh)" xfId="1062"/>
    <cellStyle name="1_KH 2007 (theo doi)_Chi tieu 5 nam_Danh muc cong trinh trong diem (04.5.12) (1)" xfId="1063"/>
    <cellStyle name="1_KH 2007 (theo doi)_Chi tieu 5 nam_Danh muc cong trinh trong diem (15.8.11)" xfId="1064"/>
    <cellStyle name="1_KH 2007 (theo doi)_Chi tieu 5 nam_Danh muc cong trinh trong diem (25.5.12)" xfId="1065"/>
    <cellStyle name="1_KH 2007 (theo doi)_Chi tieu 5 nam_Danh muc cong trinh trong diem (25.9.11)" xfId="1066"/>
    <cellStyle name="1_KH 2007 (theo doi)_Chi tieu 5 nam_Danh muc cong trinh trong diem (31.8.11)" xfId="1067"/>
    <cellStyle name="1_KH 2007 (theo doi)_Chi tieu 5 nam_pvhung.skhdt 20117113152041 Danh muc cong trinh trong diem" xfId="1068"/>
    <cellStyle name="1_KH 2007 (theo doi)_Danh muc cong trinh trong diem (04.5.12) (1)" xfId="1069"/>
    <cellStyle name="1_KH 2007 (theo doi)_Danh muc cong trinh trong diem (15.8.11)" xfId="1070"/>
    <cellStyle name="1_KH 2007 (theo doi)_Danh muc cong trinh trong diem (25.5.12)" xfId="1071"/>
    <cellStyle name="1_KH 2007 (theo doi)_Danh muc cong trinh trong diem (25.9.11)" xfId="1072"/>
    <cellStyle name="1_KH 2007 (theo doi)_Danh muc cong trinh trong diem (31.8.11)" xfId="1073"/>
    <cellStyle name="1_KH 2007 (theo doi)_DK bo tri lai (chinh thuc)" xfId="1074"/>
    <cellStyle name="1_KH 2007 (theo doi)_Ke hoach 2010 (theo doi)" xfId="1075"/>
    <cellStyle name="1_KH 2007 (theo doi)_Ke hoach 2012" xfId="1076"/>
    <cellStyle name="1_KH 2007 (theo doi)_pvhung.skhdt 20117113152041 Danh muc cong trinh trong diem" xfId="1077"/>
    <cellStyle name="1_KH 2007 (theo doi)_Tong hop so lieu" xfId="1078"/>
    <cellStyle name="1_KH 2007 (theo doi)_Tong hop so lieu_BC cong trinh trong diem" xfId="1079"/>
    <cellStyle name="1_KH 2007 (theo doi)_Tong hop so lieu_BC cong trinh trong diem_Bieu 6 thang nam 2012 (binh)" xfId="1080"/>
    <cellStyle name="1_KH 2007 (theo doi)_Tong hop so lieu_Danh muc cong trinh trong diem (04.5.12) (1)" xfId="1081"/>
    <cellStyle name="1_KH 2007 (theo doi)_Tong hop so lieu_Danh muc cong trinh trong diem (15.8.11)" xfId="1082"/>
    <cellStyle name="1_KH 2007 (theo doi)_Tong hop so lieu_Danh muc cong trinh trong diem (25.5.12)" xfId="1083"/>
    <cellStyle name="1_KH 2007 (theo doi)_Tong hop so lieu_Danh muc cong trinh trong diem (25.9.11)" xfId="1084"/>
    <cellStyle name="1_KH 2007 (theo doi)_Tong hop so lieu_Danh muc cong trinh trong diem (31.8.11)" xfId="1085"/>
    <cellStyle name="1_KH 2007 (theo doi)_Tong hop so lieu_pvhung.skhdt 20117113152041 Danh muc cong trinh trong diem" xfId="1086"/>
    <cellStyle name="1_KH 2007 (theo doi)_Tong hop theo doi von TPCP (BC)" xfId="1087"/>
    <cellStyle name="1_Kh ql62 (2010) 11-09" xfId="1088"/>
    <cellStyle name="1_khoiluongbdacdoa" xfId="1089"/>
    <cellStyle name="1_KL km 0-km3+300 dieu chinh 4-2008" xfId="1049"/>
    <cellStyle name="1_KLNM 1303" xfId="1050"/>
    <cellStyle name="1_KlQdinhduyet" xfId="1051"/>
    <cellStyle name="1_LuuNgay17-03-2009Đơn KN Cục thuế" xfId="1090"/>
    <cellStyle name="1_NTHOC" xfId="1091"/>
    <cellStyle name="1_NTHOC_1 Bieu 6 thang nam 2011" xfId="1092"/>
    <cellStyle name="1_NTHOC_bao cao cuoi thang 5 nam 2017" xfId="1093"/>
    <cellStyle name="1_NTHOC_Bao cao tinh hinh thuc hien KH 2009 den 31-01-10" xfId="1094"/>
    <cellStyle name="1_NTHOC_BC cong trinh trong diem" xfId="1095"/>
    <cellStyle name="1_NTHOC_BC cong trinh trong diem_Bieu 6 thang nam 2012 (binh)" xfId="1096"/>
    <cellStyle name="1_NTHOC_Chi tieu 5 nam" xfId="1097"/>
    <cellStyle name="1_NTHOC_Chi tieu 5 nam_BC cong trinh trong diem" xfId="1098"/>
    <cellStyle name="1_NTHOC_Chi tieu 5 nam_BC cong trinh trong diem_Bieu 6 thang nam 2012 (binh)" xfId="1099"/>
    <cellStyle name="1_NTHOC_Chi tieu 5 nam_Danh muc cong trinh trong diem (04.5.12) (1)" xfId="1100"/>
    <cellStyle name="1_NTHOC_Chi tieu 5 nam_Danh muc cong trinh trong diem (15.8.11)" xfId="1101"/>
    <cellStyle name="1_NTHOC_Chi tieu 5 nam_Danh muc cong trinh trong diem (25.5.12)" xfId="1102"/>
    <cellStyle name="1_NTHOC_Chi tieu 5 nam_Danh muc cong trinh trong diem (25.9.11)" xfId="1103"/>
    <cellStyle name="1_NTHOC_Chi tieu 5 nam_Danh muc cong trinh trong diem (31.8.11)" xfId="1104"/>
    <cellStyle name="1_NTHOC_Chi tieu 5 nam_pvhung.skhdt 20117113152041 Danh muc cong trinh trong diem" xfId="1105"/>
    <cellStyle name="1_NTHOC_Danh muc cong trinh trong diem (04.5.12) (1)" xfId="1106"/>
    <cellStyle name="1_NTHOC_Danh muc cong trinh trong diem (15.8.11)" xfId="1107"/>
    <cellStyle name="1_NTHOC_Danh muc cong trinh trong diem (25.5.12)" xfId="1108"/>
    <cellStyle name="1_NTHOC_Danh muc cong trinh trong diem (25.9.11)" xfId="1109"/>
    <cellStyle name="1_NTHOC_Danh muc cong trinh trong diem (31.8.11)" xfId="1110"/>
    <cellStyle name="1_NTHOC_DK bo tri lai (chinh thuc)" xfId="1111"/>
    <cellStyle name="1_NTHOC_Ke hoach 2012" xfId="1112"/>
    <cellStyle name="1_NTHOC_pvhung.skhdt 20117113152041 Danh muc cong trinh trong diem" xfId="1113"/>
    <cellStyle name="1_NTHOC_Ra soat KH 2009 (chinh thuc o nha)" xfId="1114"/>
    <cellStyle name="1_NTHOC_Tong hop so lieu" xfId="1115"/>
    <cellStyle name="1_NTHOC_Tong hop so lieu_BC cong trinh trong diem" xfId="1116"/>
    <cellStyle name="1_NTHOC_Tong hop so lieu_BC cong trinh trong diem_Bieu 6 thang nam 2012 (binh)" xfId="1117"/>
    <cellStyle name="1_NTHOC_Tong hop so lieu_Danh muc cong trinh trong diem (04.5.12) (1)" xfId="1118"/>
    <cellStyle name="1_NTHOC_Tong hop so lieu_Danh muc cong trinh trong diem (15.8.11)" xfId="1119"/>
    <cellStyle name="1_NTHOC_Tong hop so lieu_Danh muc cong trinh trong diem (25.5.12)" xfId="1120"/>
    <cellStyle name="1_NTHOC_Tong hop so lieu_Danh muc cong trinh trong diem (25.9.11)" xfId="1121"/>
    <cellStyle name="1_NTHOC_Tong hop so lieu_Danh muc cong trinh trong diem (31.8.11)" xfId="1122"/>
    <cellStyle name="1_NTHOC_Tong hop so lieu_pvhung.skhdt 20117113152041 Danh muc cong trinh trong diem" xfId="1123"/>
    <cellStyle name="1_NTHOC_Tong hop theo doi von TPCP" xfId="1124"/>
    <cellStyle name="1_NTHOC_Tong hop theo doi von TPCP (BC)" xfId="1125"/>
    <cellStyle name="1_NTHOC_Tong hop theo doi von TPCP_Bao cao kiem toan kh 2010" xfId="1126"/>
    <cellStyle name="1_NTHOC_Tong hop theo doi von TPCP_Ke hoach 2010 (theo doi)2" xfId="1127"/>
    <cellStyle name="1_NTHOC_Tong hop theo doi von TPCP_QD UBND tinh" xfId="1128"/>
    <cellStyle name="1_NTHOC_Tong hop theo doi von TPCP_Worksheet in D: My Documents Luc Van ban xu ly Nam 2011 Bao cao ra soat tam ung TPCP" xfId="1129"/>
    <cellStyle name="1_pvhung.skhdt 20117113152041 Danh muc cong trinh trong diem" xfId="1130"/>
    <cellStyle name="1_QT Thue GTGT 2008" xfId="1131"/>
    <cellStyle name="1_Ra soat Giai ngan 2007 (dang lam)" xfId="1132"/>
    <cellStyle name="1_Ra soat Giai ngan 2007 (dang lam)_Bao cao tinh hinh thuc hien KH 2009 den 31-01-10" xfId="1133"/>
    <cellStyle name="1_Ra soat Giai ngan 2007 (dang lam)_Book1" xfId="1134"/>
    <cellStyle name="1_Ra soat Giai ngan 2007 (dang lam)_Tong hop theo doi von TPCP (BC)" xfId="1135"/>
    <cellStyle name="1_Theo doi von TPCP (dang lam)" xfId="1147"/>
    <cellStyle name="1_Theo doi von TPCP (dang lam)_Bao cao tinh hinh thuc hien KH 2009 den 31-01-10" xfId="1148"/>
    <cellStyle name="1_Theo doi von TPCP (dang lam)_Book1" xfId="1149"/>
    <cellStyle name="1_Theo doi von TPCP (dang lam)_Tong hop theo doi von TPCP (BC)" xfId="1150"/>
    <cellStyle name="1_Thong ke cong" xfId="1151"/>
    <cellStyle name="1_thong ke giao dan sinh" xfId="1152"/>
    <cellStyle name="1_Tong hop so lieu" xfId="1136"/>
    <cellStyle name="1_Tong hop so lieu_BC cong trinh trong diem" xfId="1137"/>
    <cellStyle name="1_Tong hop so lieu_BC cong trinh trong diem_Bieu 6 thang nam 2012 (binh)" xfId="1138"/>
    <cellStyle name="1_Tong hop so lieu_Danh muc cong trinh trong diem (04.5.12) (1)" xfId="1139"/>
    <cellStyle name="1_Tong hop so lieu_Danh muc cong trinh trong diem (15.8.11)" xfId="1140"/>
    <cellStyle name="1_Tong hop so lieu_Danh muc cong trinh trong diem (25.5.12)" xfId="1141"/>
    <cellStyle name="1_Tong hop so lieu_Danh muc cong trinh trong diem (25.9.11)" xfId="1142"/>
    <cellStyle name="1_Tong hop so lieu_Danh muc cong trinh trong diem (31.8.11)" xfId="1143"/>
    <cellStyle name="1_Tong hop so lieu_pvhung.skhdt 20117113152041 Danh muc cong trinh trong diem" xfId="1144"/>
    <cellStyle name="1_Tong hop theo doi von TPCP (BC)" xfId="1145"/>
    <cellStyle name="1_TonghopKL_BOY-sual2" xfId="1146"/>
    <cellStyle name="1_TRUNG PMU 5" xfId="1153"/>
    <cellStyle name="1_VBPL kiểm toán Đầu tư XDCB 2010" xfId="1154"/>
    <cellStyle name="1_ÿÿÿÿÿ" xfId="1155"/>
    <cellStyle name="1_ÿÿÿÿÿ_Bao cao tinh hinh thuc hien KH 2009 den 31-01-10" xfId="1156"/>
    <cellStyle name="1_ÿÿÿÿÿ_Bieu tong hop nhu cau ung 2011 da chon loc -Mien nui" xfId="1157"/>
    <cellStyle name="1_ÿÿÿÿÿ_Book1" xfId="1158"/>
    <cellStyle name="1_ÿÿÿÿÿ_Kh ql62 (2010) 11-09" xfId="1159"/>
    <cellStyle name="1_ÿÿÿÿÿ_mau bieu doan giam sat 2010 (version 2)" xfId="1160"/>
    <cellStyle name="1_ÿÿÿÿÿ_Tong hop theo doi von TPCP (BC)" xfId="1161"/>
    <cellStyle name="1_ÿÿÿÿÿ_VBPL kiểm toán Đầu tư XDCB 2010" xfId="1162"/>
    <cellStyle name="1_" xfId="1163"/>
    <cellStyle name="_x0001_1¼„½(" xfId="18"/>
    <cellStyle name="_x0001_1¼½(" xfId="19"/>
    <cellStyle name="15" xfId="1164"/>
    <cellStyle name="18" xfId="1165"/>
    <cellStyle name="¹éºÐÀ²_      " xfId="1166"/>
    <cellStyle name="2" xfId="20"/>
    <cellStyle name="2 2" xfId="1167"/>
    <cellStyle name="2_1 Bieu 6 thang nam 2011" xfId="1168"/>
    <cellStyle name="2_7 noi 48 goi C5 9 vi na" xfId="1169"/>
    <cellStyle name="2_bao cao cuoi thang 5 nam 2017" xfId="1170"/>
    <cellStyle name="2_Bao cao tinh hinh thuc hien KH 2009 den 31-01-10" xfId="1171"/>
    <cellStyle name="2_BC cong trinh trong diem" xfId="1172"/>
    <cellStyle name="2_BC cong trinh trong diem_Bieu 6 thang nam 2012 (binh)" xfId="1173"/>
    <cellStyle name="2_BL vu" xfId="1174"/>
    <cellStyle name="2_BL vu_Bao cao tinh hinh thuc hien KH 2009 den 31-01-10" xfId="1175"/>
    <cellStyle name="2_Book1" xfId="1176"/>
    <cellStyle name="2_Book1_1" xfId="1177"/>
    <cellStyle name="2_Book1_Bao cao kiem toan kh 2010" xfId="1178"/>
    <cellStyle name="2_Book1_Bao cao tinh hinh thuc hien KH 2009 den 31-01-10" xfId="1179"/>
    <cellStyle name="2_Book1_Book1" xfId="1180"/>
    <cellStyle name="2_Book1_Ke hoach 2010 (theo doi)2" xfId="1181"/>
    <cellStyle name="2_Book1_QD UBND tinh" xfId="1182"/>
    <cellStyle name="2_Book1_Ra soat KH 2009 (chinh thuc o nha)" xfId="1183"/>
    <cellStyle name="2_Book1_VBPL kiểm toán Đầu tư XDCB 2010" xfId="1184"/>
    <cellStyle name="2_Book1_Worksheet in D: My Documents Luc Van ban xu ly Nam 2011 Bao cao ra soat tam ung TPCP" xfId="1185"/>
    <cellStyle name="2_Cau thuy dien Ban La (Cu Anh)" xfId="1186"/>
    <cellStyle name="2_Chi tieu 5 nam" xfId="1187"/>
    <cellStyle name="2_Chi tieu 5 nam_BC cong trinh trong diem" xfId="1188"/>
    <cellStyle name="2_Chi tieu 5 nam_BC cong trinh trong diem_Bieu 6 thang nam 2012 (binh)" xfId="1189"/>
    <cellStyle name="2_Chi tieu 5 nam_Danh muc cong trinh trong diem (04.5.12) (1)" xfId="1190"/>
    <cellStyle name="2_Chi tieu 5 nam_Danh muc cong trinh trong diem (15.8.11)" xfId="1191"/>
    <cellStyle name="2_Chi tieu 5 nam_Danh muc cong trinh trong diem (25.5.12)" xfId="1192"/>
    <cellStyle name="2_Chi tieu 5 nam_Danh muc cong trinh trong diem (25.9.11)" xfId="1193"/>
    <cellStyle name="2_Chi tieu 5 nam_Danh muc cong trinh trong diem (31.8.11)" xfId="1194"/>
    <cellStyle name="2_Chi tieu 5 nam_pvhung.skhdt 20117113152041 Danh muc cong trinh trong diem" xfId="1195"/>
    <cellStyle name="2_Danh muc cong trinh trong diem (04.5.12) (1)" xfId="1196"/>
    <cellStyle name="2_Danh muc cong trinh trong diem (15.8.11)" xfId="1197"/>
    <cellStyle name="2_Danh muc cong trinh trong diem (25.5.12)" xfId="1198"/>
    <cellStyle name="2_Danh muc cong trinh trong diem (25.9.11)" xfId="1199"/>
    <cellStyle name="2_Danh muc cong trinh trong diem (31.8.11)" xfId="1200"/>
    <cellStyle name="2_DK bo tri lai (chinh thuc)" xfId="1201"/>
    <cellStyle name="2_Dtdchinh2397" xfId="1202"/>
    <cellStyle name="2_Du toan 558 (Km17+508.12 - Km 22)" xfId="1203"/>
    <cellStyle name="2_Gia_VLQL48_duyet " xfId="1204"/>
    <cellStyle name="2_Ke hoach 2012" xfId="1205"/>
    <cellStyle name="2_KLNM 1303" xfId="1206"/>
    <cellStyle name="2_KlQdinhduyet" xfId="1207"/>
    <cellStyle name="2_NTHOC" xfId="1208"/>
    <cellStyle name="2_NTHOC_1 Bieu 6 thang nam 2011" xfId="1209"/>
    <cellStyle name="2_NTHOC_bao cao cuoi thang 5 nam 2017" xfId="1210"/>
    <cellStyle name="2_NTHOC_Bao cao tinh hinh thuc hien KH 2009 den 31-01-10" xfId="1211"/>
    <cellStyle name="2_NTHOC_BC cong trinh trong diem" xfId="1212"/>
    <cellStyle name="2_NTHOC_BC cong trinh trong diem_Bieu 6 thang nam 2012 (binh)" xfId="1213"/>
    <cellStyle name="2_NTHOC_Chi tieu 5 nam" xfId="1214"/>
    <cellStyle name="2_NTHOC_Chi tieu 5 nam_BC cong trinh trong diem" xfId="1215"/>
    <cellStyle name="2_NTHOC_Chi tieu 5 nam_BC cong trinh trong diem_Bieu 6 thang nam 2012 (binh)" xfId="1216"/>
    <cellStyle name="2_NTHOC_Chi tieu 5 nam_Danh muc cong trinh trong diem (04.5.12) (1)" xfId="1217"/>
    <cellStyle name="2_NTHOC_Chi tieu 5 nam_Danh muc cong trinh trong diem (15.8.11)" xfId="1218"/>
    <cellStyle name="2_NTHOC_Chi tieu 5 nam_Danh muc cong trinh trong diem (25.5.12)" xfId="1219"/>
    <cellStyle name="2_NTHOC_Chi tieu 5 nam_Danh muc cong trinh trong diem (25.9.11)" xfId="1220"/>
    <cellStyle name="2_NTHOC_Chi tieu 5 nam_Danh muc cong trinh trong diem (31.8.11)" xfId="1221"/>
    <cellStyle name="2_NTHOC_Chi tieu 5 nam_pvhung.skhdt 20117113152041 Danh muc cong trinh trong diem" xfId="1222"/>
    <cellStyle name="2_NTHOC_Danh muc cong trinh trong diem (04.5.12) (1)" xfId="1223"/>
    <cellStyle name="2_NTHOC_Danh muc cong trinh trong diem (15.8.11)" xfId="1224"/>
    <cellStyle name="2_NTHOC_Danh muc cong trinh trong diem (25.5.12)" xfId="1225"/>
    <cellStyle name="2_NTHOC_Danh muc cong trinh trong diem (25.9.11)" xfId="1226"/>
    <cellStyle name="2_NTHOC_Danh muc cong trinh trong diem (31.8.11)" xfId="1227"/>
    <cellStyle name="2_NTHOC_DK bo tri lai (chinh thuc)" xfId="1228"/>
    <cellStyle name="2_NTHOC_Ke hoach 2012" xfId="1229"/>
    <cellStyle name="2_NTHOC_pvhung.skhdt 20117113152041 Danh muc cong trinh trong diem" xfId="1230"/>
    <cellStyle name="2_NTHOC_Ra soat KH 2009 (chinh thuc o nha)" xfId="1231"/>
    <cellStyle name="2_NTHOC_Tong hop so lieu" xfId="1232"/>
    <cellStyle name="2_NTHOC_Tong hop so lieu_BC cong trinh trong diem" xfId="1233"/>
    <cellStyle name="2_NTHOC_Tong hop so lieu_BC cong trinh trong diem_Bieu 6 thang nam 2012 (binh)" xfId="1234"/>
    <cellStyle name="2_NTHOC_Tong hop so lieu_Danh muc cong trinh trong diem (04.5.12) (1)" xfId="1235"/>
    <cellStyle name="2_NTHOC_Tong hop so lieu_Danh muc cong trinh trong diem (15.8.11)" xfId="1236"/>
    <cellStyle name="2_NTHOC_Tong hop so lieu_Danh muc cong trinh trong diem (25.5.12)" xfId="1237"/>
    <cellStyle name="2_NTHOC_Tong hop so lieu_Danh muc cong trinh trong diem (25.9.11)" xfId="1238"/>
    <cellStyle name="2_NTHOC_Tong hop so lieu_Danh muc cong trinh trong diem (31.8.11)" xfId="1239"/>
    <cellStyle name="2_NTHOC_Tong hop so lieu_pvhung.skhdt 20117113152041 Danh muc cong trinh trong diem" xfId="1240"/>
    <cellStyle name="2_NTHOC_Tong hop theo doi von TPCP" xfId="1241"/>
    <cellStyle name="2_NTHOC_Tong hop theo doi von TPCP (BC)" xfId="1242"/>
    <cellStyle name="2_NTHOC_Tong hop theo doi von TPCP_Bao cao kiem toan kh 2010" xfId="1243"/>
    <cellStyle name="2_NTHOC_Tong hop theo doi von TPCP_Ke hoach 2010 (theo doi)2" xfId="1244"/>
    <cellStyle name="2_NTHOC_Tong hop theo doi von TPCP_QD UBND tinh" xfId="1245"/>
    <cellStyle name="2_NTHOC_Tong hop theo doi von TPCP_Worksheet in D: My Documents Luc Van ban xu ly Nam 2011 Bao cao ra soat tam ung TPCP" xfId="1246"/>
    <cellStyle name="2_pvhung.skhdt 20117113152041 Danh muc cong trinh trong diem" xfId="1247"/>
    <cellStyle name="2_Ra soat KH 2008 (chinh thuc)" xfId="1248"/>
    <cellStyle name="2_Ra soat KH 2009 (chinh thuc o nha)" xfId="1249"/>
    <cellStyle name="2_Thong ke cong" xfId="1265"/>
    <cellStyle name="2_thong ke giao dan sinh" xfId="1266"/>
    <cellStyle name="2_Tong hop so lieu" xfId="1250"/>
    <cellStyle name="2_Tong hop so lieu_BC cong trinh trong diem" xfId="1251"/>
    <cellStyle name="2_Tong hop so lieu_BC cong trinh trong diem_Bieu 6 thang nam 2012 (binh)" xfId="1252"/>
    <cellStyle name="2_Tong hop so lieu_Danh muc cong trinh trong diem (04.5.12) (1)" xfId="1253"/>
    <cellStyle name="2_Tong hop so lieu_Danh muc cong trinh trong diem (15.8.11)" xfId="1254"/>
    <cellStyle name="2_Tong hop so lieu_Danh muc cong trinh trong diem (25.5.12)" xfId="1255"/>
    <cellStyle name="2_Tong hop so lieu_Danh muc cong trinh trong diem (25.9.11)" xfId="1256"/>
    <cellStyle name="2_Tong hop so lieu_Danh muc cong trinh trong diem (31.8.11)" xfId="1257"/>
    <cellStyle name="2_Tong hop so lieu_pvhung.skhdt 20117113152041 Danh muc cong trinh trong diem" xfId="1258"/>
    <cellStyle name="2_Tong hop theo doi von TPCP" xfId="1259"/>
    <cellStyle name="2_Tong hop theo doi von TPCP (BC)" xfId="1260"/>
    <cellStyle name="2_Tong hop theo doi von TPCP_Bao cao kiem toan kh 2010" xfId="1261"/>
    <cellStyle name="2_Tong hop theo doi von TPCP_Ke hoach 2010 (theo doi)2" xfId="1262"/>
    <cellStyle name="2_Tong hop theo doi von TPCP_QD UBND tinh" xfId="1263"/>
    <cellStyle name="2_Tong hop theo doi von TPCP_Worksheet in D: My Documents Luc Van ban xu ly Nam 2011 Bao cao ra soat tam ung TPCP" xfId="1264"/>
    <cellStyle name="2_TRUNG PMU 5" xfId="1267"/>
    <cellStyle name="2_VBPL kiểm toán Đầu tư XDCB 2010" xfId="1268"/>
    <cellStyle name="2_ÿÿÿÿÿ" xfId="1269"/>
    <cellStyle name="2_ÿÿÿÿÿ_Bieu tong hop nhu cau ung 2011 da chon loc -Mien nui" xfId="1270"/>
    <cellStyle name="2_ÿÿÿÿÿ_mau bieu doan giam sat 2010 (version 2)" xfId="1271"/>
    <cellStyle name="20" xfId="1272"/>
    <cellStyle name="20% - Accent1 2" xfId="1274"/>
    <cellStyle name="20% - Accent1 3" xfId="1273"/>
    <cellStyle name="20% - Accent2 2" xfId="1276"/>
    <cellStyle name="20% - Accent2 3" xfId="1275"/>
    <cellStyle name="20% - Accent3 2" xfId="1278"/>
    <cellStyle name="20% - Accent3 3" xfId="1277"/>
    <cellStyle name="20% - Accent4 2" xfId="1280"/>
    <cellStyle name="20% - Accent4 3" xfId="1279"/>
    <cellStyle name="20% - Accent5 2" xfId="1282"/>
    <cellStyle name="20% - Accent5 3" xfId="1281"/>
    <cellStyle name="20% - Accent6 2" xfId="1284"/>
    <cellStyle name="20% - Accent6 3" xfId="1283"/>
    <cellStyle name="20% - Nhấn1" xfId="1285"/>
    <cellStyle name="20% - Nhấn2" xfId="1286"/>
    <cellStyle name="20% - Nhấn3" xfId="1287"/>
    <cellStyle name="20% - Nhấn4" xfId="1288"/>
    <cellStyle name="20% - Nhấn5" xfId="1289"/>
    <cellStyle name="20% - Nhấn6" xfId="1290"/>
    <cellStyle name="-2001" xfId="1291"/>
    <cellStyle name="3" xfId="21"/>
    <cellStyle name="3 2" xfId="1292"/>
    <cellStyle name="3_7 noi 48 goi C5 9 vi na" xfId="1293"/>
    <cellStyle name="3_bao cao cuoi thang 5 nam 2017" xfId="1294"/>
    <cellStyle name="3_Bao cao tinh hinh thuc hien KH 2009 den 31-01-10" xfId="1295"/>
    <cellStyle name="3_Book1" xfId="1296"/>
    <cellStyle name="3_Book1_1" xfId="1297"/>
    <cellStyle name="3_Cau thuy dien Ban La (Cu Anh)" xfId="1298"/>
    <cellStyle name="3_Dtdchinh2397" xfId="1299"/>
    <cellStyle name="3_Du toan 558 (Km17+508.12 - Km 22)" xfId="1300"/>
    <cellStyle name="3_Gia_VLQL48_duyet " xfId="1301"/>
    <cellStyle name="3_KLNM 1303" xfId="1302"/>
    <cellStyle name="3_KlQdinhduyet" xfId="1303"/>
    <cellStyle name="3_Thong ke cong" xfId="1304"/>
    <cellStyle name="3_thong ke giao dan sinh" xfId="1305"/>
    <cellStyle name="3_VBPL kiểm toán Đầu tư XDCB 2010" xfId="1306"/>
    <cellStyle name="3_ÿÿÿÿÿ" xfId="1307"/>
    <cellStyle name="4" xfId="22"/>
    <cellStyle name="4_7 noi 48 goi C5 9 vi na" xfId="1308"/>
    <cellStyle name="4_Book1" xfId="1309"/>
    <cellStyle name="4_Book1_1" xfId="1310"/>
    <cellStyle name="4_Cau thuy dien Ban La (Cu Anh)" xfId="1311"/>
    <cellStyle name="4_Dtdchinh2397" xfId="1312"/>
    <cellStyle name="4_Du toan 558 (Km17+508.12 - Km 22)" xfId="1313"/>
    <cellStyle name="4_Gia_VLQL48_duyet " xfId="1314"/>
    <cellStyle name="4_KLNM 1303" xfId="1315"/>
    <cellStyle name="4_KlQdinhduyet" xfId="1316"/>
    <cellStyle name="4_Thong ke cong" xfId="1317"/>
    <cellStyle name="4_thong ke giao dan sinh" xfId="1318"/>
    <cellStyle name="4_ÿÿÿÿÿ" xfId="1319"/>
    <cellStyle name="40% - Accent1 2" xfId="1321"/>
    <cellStyle name="40% - Accent1 3" xfId="1320"/>
    <cellStyle name="40% - Accent2 2" xfId="1323"/>
    <cellStyle name="40% - Accent2 3" xfId="1322"/>
    <cellStyle name="40% - Accent3 2" xfId="1325"/>
    <cellStyle name="40% - Accent3 3" xfId="1324"/>
    <cellStyle name="40% - Accent4 2" xfId="1327"/>
    <cellStyle name="40% - Accent4 3" xfId="1326"/>
    <cellStyle name="40% - Accent5 2" xfId="1329"/>
    <cellStyle name="40% - Accent5 3" xfId="1328"/>
    <cellStyle name="40% - Accent6 2" xfId="1331"/>
    <cellStyle name="40% - Accent6 3" xfId="1330"/>
    <cellStyle name="40% - Nhấn1" xfId="1332"/>
    <cellStyle name="40% - Nhấn2" xfId="1333"/>
    <cellStyle name="40% - Nhấn3" xfId="1334"/>
    <cellStyle name="40% - Nhấn4" xfId="1335"/>
    <cellStyle name="40% - Nhấn5" xfId="1336"/>
    <cellStyle name="40% - Nhấn6" xfId="1337"/>
    <cellStyle name="6" xfId="1338"/>
    <cellStyle name="6_Bieu mau ung 2011-Mien Trung-TPCP-11-6" xfId="1339"/>
    <cellStyle name="6_Copy of ghep 3 bieu trinh LD BO 28-6 (TPCP)" xfId="1340"/>
    <cellStyle name="6_DTDuong dong tien -sua tham tra 2009 - luong 650" xfId="1341"/>
    <cellStyle name="6_Nhu cau tam ung NSNN&amp;TPCP&amp;ODA theo tieu chi cua Bo (CV410_BKH-TH)_vung Tay Nguyen (11.6.2010)" xfId="1342"/>
    <cellStyle name="60% - Accent1 2" xfId="1344"/>
    <cellStyle name="60% - Accent1 3" xfId="1343"/>
    <cellStyle name="60% - Accent2 2" xfId="1346"/>
    <cellStyle name="60% - Accent2 3" xfId="1345"/>
    <cellStyle name="60% - Accent3 2" xfId="1348"/>
    <cellStyle name="60% - Accent3 3" xfId="1347"/>
    <cellStyle name="60% - Accent4 2" xfId="1350"/>
    <cellStyle name="60% - Accent4 3" xfId="1349"/>
    <cellStyle name="60% - Accent5 2" xfId="1352"/>
    <cellStyle name="60% - Accent5 3" xfId="1351"/>
    <cellStyle name="60% - Accent6 2" xfId="1354"/>
    <cellStyle name="60% - Accent6 3" xfId="1353"/>
    <cellStyle name="60% - Nhấn1" xfId="1355"/>
    <cellStyle name="60% - Nhấn2" xfId="1356"/>
    <cellStyle name="60% - Nhấn3" xfId="1357"/>
    <cellStyle name="60% - Nhấn4" xfId="1358"/>
    <cellStyle name="60% - Nhấn5" xfId="1359"/>
    <cellStyle name="60% - Nhấn6" xfId="1360"/>
    <cellStyle name="9" xfId="1361"/>
    <cellStyle name="_x0001_Å»_x001e_´ " xfId="23"/>
    <cellStyle name="_x0001_Å»_x001e_´_" xfId="24"/>
    <cellStyle name="Accent1 2" xfId="1363"/>
    <cellStyle name="Accent1 3" xfId="1362"/>
    <cellStyle name="Accent2 2" xfId="1365"/>
    <cellStyle name="Accent2 3" xfId="1364"/>
    <cellStyle name="Accent3 2" xfId="1367"/>
    <cellStyle name="Accent3 3" xfId="1366"/>
    <cellStyle name="Accent4 2" xfId="1369"/>
    <cellStyle name="Accent4 3" xfId="1368"/>
    <cellStyle name="Accent5 2" xfId="1371"/>
    <cellStyle name="Accent5 3" xfId="1370"/>
    <cellStyle name="Accent6 2" xfId="1373"/>
    <cellStyle name="Accent6 3" xfId="1372"/>
    <cellStyle name="ÅëÈ­ [0]_      " xfId="1374"/>
    <cellStyle name="AeE­ [0]_INQUIRY ¿?¾÷AßAø " xfId="1375"/>
    <cellStyle name="ÅëÈ­ [0]_L601CPT" xfId="1376"/>
    <cellStyle name="ÅëÈ­_      " xfId="1377"/>
    <cellStyle name="AeE­_INQUIRY ¿?¾÷AßAø " xfId="1378"/>
    <cellStyle name="ÅëÈ­_L601CPT" xfId="1379"/>
    <cellStyle name="args.style" xfId="1380"/>
    <cellStyle name="at" xfId="1381"/>
    <cellStyle name="ÄÞ¸¶ [0]_      " xfId="1382"/>
    <cellStyle name="AÞ¸¶ [0]_INQUIRY ¿?¾÷AßAø " xfId="25"/>
    <cellStyle name="ÄÞ¸¶ [0]_L601CPT" xfId="1383"/>
    <cellStyle name="ÄÞ¸¶_      " xfId="1384"/>
    <cellStyle name="AÞ¸¶_INQUIRY ¿?¾÷AßAø " xfId="26"/>
    <cellStyle name="ÄÞ¸¶_L601CPT" xfId="1385"/>
    <cellStyle name="AutoFormat Options" xfId="1386"/>
    <cellStyle name="AutoFormat-Optionen" xfId="1387"/>
    <cellStyle name="Bad 2" xfId="1389"/>
    <cellStyle name="Bad 3" xfId="1388"/>
    <cellStyle name="Bình Thường_Cat phay" xfId="1390"/>
    <cellStyle name="Body" xfId="1391"/>
    <cellStyle name="C?AØ_¿?¾÷CoE² " xfId="27"/>
    <cellStyle name="C~1" xfId="1392"/>
    <cellStyle name="Ç¥ÁØ_      " xfId="1393"/>
    <cellStyle name="C￥AØ_¿μ¾÷CoE² " xfId="28"/>
    <cellStyle name="Ç¥ÁØ_±¸¹Ì´ëÃ¥" xfId="1394"/>
    <cellStyle name="C￥AØ_Sheet1_¿μ¾÷CoE² " xfId="1395"/>
    <cellStyle name="Ç¥ÁØ_ÿÿÿÿÿÿ_4_ÃÑÇÕ°è " xfId="1396"/>
    <cellStyle name="Calc Currency (0)" xfId="1397"/>
    <cellStyle name="Calc Currency (2)" xfId="1398"/>
    <cellStyle name="Calc Percent (0)" xfId="1399"/>
    <cellStyle name="Calc Percent (1)" xfId="1400"/>
    <cellStyle name="Calc Percent (2)" xfId="1401"/>
    <cellStyle name="Calc Units (0)" xfId="1402"/>
    <cellStyle name="Calc Units (1)" xfId="1403"/>
    <cellStyle name="Calc Units (2)" xfId="1404"/>
    <cellStyle name="Calculation 2" xfId="1406"/>
    <cellStyle name="Calculation 3" xfId="1405"/>
    <cellStyle name="category" xfId="1407"/>
    <cellStyle name="Cerrency_Sheet2_XANGDAU" xfId="1408"/>
    <cellStyle name="Check Cell 2" xfId="1466"/>
    <cellStyle name="Check Cell 3" xfId="1465"/>
    <cellStyle name="Chi phÝ kh¸c_Book1" xfId="1467"/>
    <cellStyle name="chu" xfId="1468"/>
    <cellStyle name="CHUONG" xfId="1469"/>
    <cellStyle name="Co?ma_Sheet1" xfId="1409"/>
    <cellStyle name="Comma" xfId="29" builtinId="3"/>
    <cellStyle name="Comma  - Style1" xfId="1411"/>
    <cellStyle name="Comma  - Style2" xfId="1412"/>
    <cellStyle name="Comma  - Style3" xfId="1413"/>
    <cellStyle name="Comma  - Style4" xfId="1414"/>
    <cellStyle name="Comma  - Style5" xfId="1415"/>
    <cellStyle name="Comma  - Style6" xfId="1416"/>
    <cellStyle name="Comma  - Style7" xfId="1417"/>
    <cellStyle name="Comma  - Style8" xfId="1418"/>
    <cellStyle name="Comma [0] 11" xfId="141"/>
    <cellStyle name="Comma [0] 2" xfId="1419"/>
    <cellStyle name="Comma [0] 2 2" xfId="1420"/>
    <cellStyle name="Comma [0] 2_bao cao cuoi thang 5 nam 2017" xfId="1421"/>
    <cellStyle name="Comma [0] 3" xfId="1422"/>
    <cellStyle name="Comma [0] 4" xfId="30"/>
    <cellStyle name="Comma [0] 4 2" xfId="31"/>
    <cellStyle name="Comma [0] 4 2 2" xfId="32"/>
    <cellStyle name="Comma [0] 4 2 2 2" xfId="33"/>
    <cellStyle name="Comma [0] 4 2 3" xfId="34"/>
    <cellStyle name="Comma [0] 5" xfId="1423"/>
    <cellStyle name="Comma [00]" xfId="1424"/>
    <cellStyle name="Comma 10" xfId="1425"/>
    <cellStyle name="Comma 11" xfId="1410"/>
    <cellStyle name="Comma 2" xfId="35"/>
    <cellStyle name="Comma 2 2" xfId="36"/>
    <cellStyle name="Comma 2 2 2" xfId="37"/>
    <cellStyle name="Comma 2 2 3" xfId="1427"/>
    <cellStyle name="Comma 2 3" xfId="38"/>
    <cellStyle name="Comma 2 3 2" xfId="1428"/>
    <cellStyle name="Comma 2 4" xfId="1429"/>
    <cellStyle name="Comma 2 5" xfId="1426"/>
    <cellStyle name="Comma 2_bao cao cuoi thang 5 nam 2017" xfId="1430"/>
    <cellStyle name="Comma 2_BC 6 thang_Phu Luc" xfId="39"/>
    <cellStyle name="Comma 3" xfId="40"/>
    <cellStyle name="Comma 3 2" xfId="41"/>
    <cellStyle name="Comma 3 2 2" xfId="1432"/>
    <cellStyle name="Comma 3 3" xfId="42"/>
    <cellStyle name="Comma 3 3 2" xfId="43"/>
    <cellStyle name="Comma 3 3 2 2" xfId="44"/>
    <cellStyle name="Comma 3 3 2 2 2" xfId="45"/>
    <cellStyle name="Comma 3 3 2 3" xfId="46"/>
    <cellStyle name="Comma 3 3 3" xfId="47"/>
    <cellStyle name="Comma 3 3 3 2" xfId="48"/>
    <cellStyle name="Comma 3 3 4" xfId="49"/>
    <cellStyle name="Comma 3 4" xfId="1431"/>
    <cellStyle name="Comma 3_bao cao cuoi thang 5 nam 2017" xfId="1433"/>
    <cellStyle name="Comma 4" xfId="50"/>
    <cellStyle name="Comma 4 2" xfId="51"/>
    <cellStyle name="Comma 4 2 2" xfId="1435"/>
    <cellStyle name="Comma 4 3" xfId="1434"/>
    <cellStyle name="Comma 4_Bieu mau KH 2011 (gui Vu DP)" xfId="1436"/>
    <cellStyle name="Comma 5" xfId="52"/>
    <cellStyle name="Comma 5 2" xfId="1437"/>
    <cellStyle name="Comma 6" xfId="53"/>
    <cellStyle name="Comma 6 2" xfId="142"/>
    <cellStyle name="Comma 6 2 2" xfId="1439"/>
    <cellStyle name="Comma 6 3" xfId="1440"/>
    <cellStyle name="Comma 6 4" xfId="1438"/>
    <cellStyle name="Comma 7" xfId="54"/>
    <cellStyle name="Comma 7 2" xfId="1441"/>
    <cellStyle name="Comma 8" xfId="55"/>
    <cellStyle name="Comma 8 2" xfId="1442"/>
    <cellStyle name="Comma 9" xfId="56"/>
    <cellStyle name="Comma 9 2" xfId="1443"/>
    <cellStyle name="comma zerodec" xfId="1444"/>
    <cellStyle name="comma zerodec 2" xfId="1445"/>
    <cellStyle name="Comma0" xfId="57"/>
    <cellStyle name="Comma0 - Modelo1" xfId="1446"/>
    <cellStyle name="Comma0 - Style1" xfId="1447"/>
    <cellStyle name="Comma0_Dat TP Kon Tum Ko Dung QD" xfId="1448"/>
    <cellStyle name="Comma1 - Modelo2" xfId="1449"/>
    <cellStyle name="Comma1 - Style2" xfId="1450"/>
    <cellStyle name="cong" xfId="1451"/>
    <cellStyle name="Copied" xfId="1452"/>
    <cellStyle name="Cࡵrrency_Sheet1_PRODUCTĠ" xfId="1453"/>
    <cellStyle name="_x0001_CS_x0006_RMO[" xfId="58"/>
    <cellStyle name="_x0001_CS_x0006_RMO_" xfId="59"/>
    <cellStyle name="Currency [00]" xfId="1454"/>
    <cellStyle name="Currency0" xfId="60"/>
    <cellStyle name="Currency0 2" xfId="1455"/>
    <cellStyle name="Currency0 2 2" xfId="1456"/>
    <cellStyle name="Currency0 2 3" xfId="1457"/>
    <cellStyle name="Currency0 2 4" xfId="1458"/>
    <cellStyle name="Currency0 2_Khoi cong moi 1" xfId="1459"/>
    <cellStyle name="Currency0 3" xfId="1460"/>
    <cellStyle name="Currency0 4" xfId="1461"/>
    <cellStyle name="Currency0_bao cao cuoi thang 5 nam 2017" xfId="1462"/>
    <cellStyle name="Currency1" xfId="1463"/>
    <cellStyle name="Currency1 2" xfId="1464"/>
    <cellStyle name="D1" xfId="1470"/>
    <cellStyle name="Date" xfId="61"/>
    <cellStyle name="Date Short" xfId="1471"/>
    <cellStyle name="Date_1 Bieu 6 thang nam 2011" xfId="1472"/>
    <cellStyle name="Đầu ra" xfId="1563"/>
    <cellStyle name="Đầu vào" xfId="1564"/>
    <cellStyle name="DAUDE" xfId="1473"/>
    <cellStyle name="Đề mục 1" xfId="1565"/>
    <cellStyle name="Đề mục 2" xfId="1566"/>
    <cellStyle name="Đề mục 3" xfId="1567"/>
    <cellStyle name="Đề mục 4" xfId="1568"/>
    <cellStyle name="Decimal" xfId="62"/>
    <cellStyle name="Decimal 2" xfId="63"/>
    <cellStyle name="Decimal 3" xfId="1474"/>
    <cellStyle name="Decimal 4" xfId="1475"/>
    <cellStyle name="Decimal_bao cao cuoi thang 5 nam 2017" xfId="1476"/>
    <cellStyle name="DELTA" xfId="1477"/>
    <cellStyle name="Dezimal [0]_35ERI8T2gbIEMixb4v26icuOo" xfId="1478"/>
    <cellStyle name="Dezimal_35ERI8T2gbIEMixb4v26icuOo" xfId="1479"/>
    <cellStyle name="Dg" xfId="1480"/>
    <cellStyle name="Dgia" xfId="1481"/>
    <cellStyle name="Dia" xfId="1482"/>
    <cellStyle name="_x0001_dÏÈ¹ " xfId="64"/>
    <cellStyle name="_x0001_dÏÈ¹_" xfId="65"/>
    <cellStyle name="Dollar (zero dec)" xfId="1483"/>
    <cellStyle name="Dollar (zero dec) 2" xfId="1484"/>
    <cellStyle name="Don gia" xfId="1485"/>
    <cellStyle name="DuToanBXD" xfId="1486"/>
    <cellStyle name="Dziesi?tny [0]_Invoices2001Slovakia" xfId="1487"/>
    <cellStyle name="Dziesi?tny_Invoices2001Slovakia" xfId="1488"/>
    <cellStyle name="Dziesietny [0]_Invoices2001Slovakia" xfId="1489"/>
    <cellStyle name="Dziesiętny [0]_Invoices2001Slovakia" xfId="1490"/>
    <cellStyle name="Dziesietny [0]_Invoices2001Slovakia_01_Nha so 1_Dien" xfId="1491"/>
    <cellStyle name="Dziesiętny [0]_Invoices2001Slovakia_01_Nha so 1_Dien" xfId="1492"/>
    <cellStyle name="Dziesietny [0]_Invoices2001Slovakia_10_Nha so 10_Dien1" xfId="1493"/>
    <cellStyle name="Dziesiętny [0]_Invoices2001Slovakia_10_Nha so 10_Dien1" xfId="1494"/>
    <cellStyle name="Dziesietny [0]_Invoices2001Slovakia_Book1" xfId="1495"/>
    <cellStyle name="Dziesiętny [0]_Invoices2001Slovakia_Book1" xfId="1496"/>
    <cellStyle name="Dziesietny [0]_Invoices2001Slovakia_Book1_1" xfId="1497"/>
    <cellStyle name="Dziesiętny [0]_Invoices2001Slovakia_Book1_1" xfId="1498"/>
    <cellStyle name="Dziesietny [0]_Invoices2001Slovakia_Book1_1_Book1" xfId="1499"/>
    <cellStyle name="Dziesiętny [0]_Invoices2001Slovakia_Book1_1_Book1" xfId="1500"/>
    <cellStyle name="Dziesietny [0]_Invoices2001Slovakia_Book1_2" xfId="1501"/>
    <cellStyle name="Dziesiętny [0]_Invoices2001Slovakia_Book1_2" xfId="1502"/>
    <cellStyle name="Dziesietny [0]_Invoices2001Slovakia_Book1_Nhu cau von ung truoc 2011 Tha h Hoa + Nge An gui TW" xfId="1503"/>
    <cellStyle name="Dziesiętny [0]_Invoices2001Slovakia_Book1_Nhu cau von ung truoc 2011 Tha h Hoa + Nge An gui TW" xfId="1504"/>
    <cellStyle name="Dziesietny [0]_Invoices2001Slovakia_Book1_Tong hop Cac tuyen(9-1-06)" xfId="1505"/>
    <cellStyle name="Dziesiętny [0]_Invoices2001Slovakia_Book1_Tong hop Cac tuyen(9-1-06)" xfId="1506"/>
    <cellStyle name="Dziesietny [0]_Invoices2001Slovakia_Book1_ung 2011 - 11-6-Thanh hoa-Nghe an" xfId="1507"/>
    <cellStyle name="Dziesiętny [0]_Invoices2001Slovakia_Book1_ung 2011 - 11-6-Thanh hoa-Nghe an" xfId="1508"/>
    <cellStyle name="Dziesietny [0]_Invoices2001Slovakia_Book1_ung truoc 2011 NSTW Thanh Hoa + Nge An gui Thu 12-5" xfId="1509"/>
    <cellStyle name="Dziesiętny [0]_Invoices2001Slovakia_Book1_ung truoc 2011 NSTW Thanh Hoa + Nge An gui Thu 12-5" xfId="1510"/>
    <cellStyle name="Dziesietny [0]_Invoices2001Slovakia_d-uong+TDT" xfId="1511"/>
    <cellStyle name="Dziesiętny [0]_Invoices2001Slovakia_Nhµ ®Ó xe" xfId="1512"/>
    <cellStyle name="Dziesietny [0]_Invoices2001Slovakia_Nha bao ve(28-7-05)" xfId="1513"/>
    <cellStyle name="Dziesiętny [0]_Invoices2001Slovakia_Nha bao ve(28-7-05)" xfId="1514"/>
    <cellStyle name="Dziesietny [0]_Invoices2001Slovakia_NHA de xe nguyen du" xfId="1515"/>
    <cellStyle name="Dziesiętny [0]_Invoices2001Slovakia_NHA de xe nguyen du" xfId="1516"/>
    <cellStyle name="Dziesietny [0]_Invoices2001Slovakia_Nhalamviec VTC(25-1-05)" xfId="1517"/>
    <cellStyle name="Dziesiętny [0]_Invoices2001Slovakia_Nhalamviec VTC(25-1-05)" xfId="1518"/>
    <cellStyle name="Dziesietny [0]_Invoices2001Slovakia_Nhu cau von ung truoc 2011 Tha h Hoa + Nge An gui TW" xfId="1519"/>
    <cellStyle name="Dziesiętny [0]_Invoices2001Slovakia_TDT KHANH HOA" xfId="1520"/>
    <cellStyle name="Dziesietny [0]_Invoices2001Slovakia_TDT KHANH HOA_Tong hop Cac tuyen(9-1-06)" xfId="1521"/>
    <cellStyle name="Dziesiętny [0]_Invoices2001Slovakia_TDT KHANH HOA_Tong hop Cac tuyen(9-1-06)" xfId="1522"/>
    <cellStyle name="Dziesietny [0]_Invoices2001Slovakia_TDT quangngai" xfId="1523"/>
    <cellStyle name="Dziesiętny [0]_Invoices2001Slovakia_TDT quangngai" xfId="1524"/>
    <cellStyle name="Dziesietny [0]_Invoices2001Slovakia_TMDT(10-5-06)" xfId="1525"/>
    <cellStyle name="Dziesietny_Invoices2001Slovakia" xfId="1526"/>
    <cellStyle name="Dziesiętny_Invoices2001Slovakia" xfId="1527"/>
    <cellStyle name="Dziesietny_Invoices2001Slovakia_01_Nha so 1_Dien" xfId="1528"/>
    <cellStyle name="Dziesiętny_Invoices2001Slovakia_01_Nha so 1_Dien" xfId="1529"/>
    <cellStyle name="Dziesietny_Invoices2001Slovakia_10_Nha so 10_Dien1" xfId="1530"/>
    <cellStyle name="Dziesiętny_Invoices2001Slovakia_10_Nha so 10_Dien1" xfId="1531"/>
    <cellStyle name="Dziesietny_Invoices2001Slovakia_Book1" xfId="1532"/>
    <cellStyle name="Dziesiętny_Invoices2001Slovakia_Book1" xfId="1533"/>
    <cellStyle name="Dziesietny_Invoices2001Slovakia_Book1_1" xfId="1534"/>
    <cellStyle name="Dziesiętny_Invoices2001Slovakia_Book1_1" xfId="1535"/>
    <cellStyle name="Dziesietny_Invoices2001Slovakia_Book1_1_Book1" xfId="1536"/>
    <cellStyle name="Dziesiętny_Invoices2001Slovakia_Book1_1_Book1" xfId="1537"/>
    <cellStyle name="Dziesietny_Invoices2001Slovakia_Book1_2" xfId="1538"/>
    <cellStyle name="Dziesiętny_Invoices2001Slovakia_Book1_2" xfId="1539"/>
    <cellStyle name="Dziesietny_Invoices2001Slovakia_Book1_Nhu cau von ung truoc 2011 Tha h Hoa + Nge An gui TW" xfId="1540"/>
    <cellStyle name="Dziesiętny_Invoices2001Slovakia_Book1_Nhu cau von ung truoc 2011 Tha h Hoa + Nge An gui TW" xfId="1541"/>
    <cellStyle name="Dziesietny_Invoices2001Slovakia_Book1_Tong hop Cac tuyen(9-1-06)" xfId="1542"/>
    <cellStyle name="Dziesiętny_Invoices2001Slovakia_Book1_Tong hop Cac tuyen(9-1-06)" xfId="1543"/>
    <cellStyle name="Dziesietny_Invoices2001Slovakia_Book1_ung 2011 - 11-6-Thanh hoa-Nghe an" xfId="1544"/>
    <cellStyle name="Dziesiętny_Invoices2001Slovakia_Book1_ung 2011 - 11-6-Thanh hoa-Nghe an" xfId="1545"/>
    <cellStyle name="Dziesietny_Invoices2001Slovakia_Book1_ung truoc 2011 NSTW Thanh Hoa + Nge An gui Thu 12-5" xfId="1546"/>
    <cellStyle name="Dziesiętny_Invoices2001Slovakia_Book1_ung truoc 2011 NSTW Thanh Hoa + Nge An gui Thu 12-5" xfId="1547"/>
    <cellStyle name="Dziesietny_Invoices2001Slovakia_d-uong+TDT" xfId="1548"/>
    <cellStyle name="Dziesiętny_Invoices2001Slovakia_Nhµ ®Ó xe" xfId="1549"/>
    <cellStyle name="Dziesietny_Invoices2001Slovakia_Nha bao ve(28-7-05)" xfId="1550"/>
    <cellStyle name="Dziesiętny_Invoices2001Slovakia_Nha bao ve(28-7-05)" xfId="1551"/>
    <cellStyle name="Dziesietny_Invoices2001Slovakia_NHA de xe nguyen du" xfId="1552"/>
    <cellStyle name="Dziesiętny_Invoices2001Slovakia_NHA de xe nguyen du" xfId="1553"/>
    <cellStyle name="Dziesietny_Invoices2001Slovakia_Nhalamviec VTC(25-1-05)" xfId="1554"/>
    <cellStyle name="Dziesiętny_Invoices2001Slovakia_Nhalamviec VTC(25-1-05)" xfId="1555"/>
    <cellStyle name="Dziesietny_Invoices2001Slovakia_Nhu cau von ung truoc 2011 Tha h Hoa + Nge An gui TW" xfId="1556"/>
    <cellStyle name="Dziesiętny_Invoices2001Slovakia_TDT KHANH HOA" xfId="1557"/>
    <cellStyle name="Dziesietny_Invoices2001Slovakia_TDT KHANH HOA_Tong hop Cac tuyen(9-1-06)" xfId="1558"/>
    <cellStyle name="Dziesiętny_Invoices2001Slovakia_TDT KHANH HOA_Tong hop Cac tuyen(9-1-06)" xfId="1559"/>
    <cellStyle name="Dziesietny_Invoices2001Slovakia_TDT quangngai" xfId="1560"/>
    <cellStyle name="Dziesiętny_Invoices2001Slovakia_TDT quangngai" xfId="1561"/>
    <cellStyle name="Dziesietny_Invoices2001Slovakia_TMDT(10-5-06)" xfId="1562"/>
    <cellStyle name="e" xfId="1569"/>
    <cellStyle name="Encabez1" xfId="1570"/>
    <cellStyle name="Encabez2" xfId="1571"/>
    <cellStyle name="Enter Currency (0)" xfId="1572"/>
    <cellStyle name="Enter Currency (2)" xfId="1573"/>
    <cellStyle name="Enter Units (0)" xfId="1574"/>
    <cellStyle name="Enter Units (1)" xfId="1575"/>
    <cellStyle name="Enter Units (2)" xfId="1576"/>
    <cellStyle name="Entered" xfId="1577"/>
    <cellStyle name="En-tete1" xfId="1578"/>
    <cellStyle name="En-tete2" xfId="1579"/>
    <cellStyle name="Euro" xfId="1580"/>
    <cellStyle name="Explanatory Text 2" xfId="1582"/>
    <cellStyle name="Explanatory Text 3" xfId="1581"/>
    <cellStyle name="f" xfId="1583"/>
    <cellStyle name="F2" xfId="1584"/>
    <cellStyle name="F3" xfId="1585"/>
    <cellStyle name="F4" xfId="1586"/>
    <cellStyle name="F5" xfId="1587"/>
    <cellStyle name="F6" xfId="1588"/>
    <cellStyle name="F7" xfId="1589"/>
    <cellStyle name="F8" xfId="1590"/>
    <cellStyle name="Fijo" xfId="1591"/>
    <cellStyle name="Financier" xfId="1592"/>
    <cellStyle name="Financiero" xfId="1593"/>
    <cellStyle name="Fixe" xfId="1594"/>
    <cellStyle name="Fixed" xfId="66"/>
    <cellStyle name="Font Britannic16" xfId="1595"/>
    <cellStyle name="Font Britannic18" xfId="1596"/>
    <cellStyle name="Font CenturyCond 18" xfId="1597"/>
    <cellStyle name="Font Cond20" xfId="1598"/>
    <cellStyle name="Font LucidaSans16" xfId="1599"/>
    <cellStyle name="Font NewCenturyCond18" xfId="1600"/>
    <cellStyle name="Font Ottawa14" xfId="1601"/>
    <cellStyle name="Font Ottawa16" xfId="1602"/>
    <cellStyle name="Formulas" xfId="1603"/>
    <cellStyle name="Ghi chú" xfId="1604"/>
    <cellStyle name="gia" xfId="1609"/>
    <cellStyle name="Good 2" xfId="1606"/>
    <cellStyle name="Good 3" xfId="1605"/>
    <cellStyle name="Grey" xfId="67"/>
    <cellStyle name="Grey 2" xfId="1607"/>
    <cellStyle name="Group" xfId="1608"/>
    <cellStyle name="H" xfId="1610"/>
    <cellStyle name="ha" xfId="68"/>
    <cellStyle name="ha 2" xfId="1611"/>
    <cellStyle name="Head 1" xfId="1612"/>
    <cellStyle name="Header" xfId="69"/>
    <cellStyle name="Header1" xfId="70"/>
    <cellStyle name="Header2" xfId="71"/>
    <cellStyle name="Heading 1" xfId="72"/>
    <cellStyle name="Heading 1 2" xfId="1614"/>
    <cellStyle name="Heading 1 3" xfId="1613"/>
    <cellStyle name="Heading 2" xfId="73"/>
    <cellStyle name="Heading 2 2" xfId="1616"/>
    <cellStyle name="Heading 2 3" xfId="1615"/>
    <cellStyle name="Heading 3 2" xfId="1618"/>
    <cellStyle name="Heading 3 3" xfId="1617"/>
    <cellStyle name="Heading 4 2" xfId="1620"/>
    <cellStyle name="Heading 4 3" xfId="1619"/>
    <cellStyle name="HEADING1" xfId="1621"/>
    <cellStyle name="HEADING1 2" xfId="1622"/>
    <cellStyle name="HEADING2" xfId="1623"/>
    <cellStyle name="HEADING2 2" xfId="1624"/>
    <cellStyle name="HEADINGS" xfId="1625"/>
    <cellStyle name="HEADINGSTOP" xfId="1626"/>
    <cellStyle name="headoption" xfId="1627"/>
    <cellStyle name="hoa" xfId="1628"/>
    <cellStyle name="Hoa-Scholl" xfId="74"/>
    <cellStyle name="Hoa-Scholl 2" xfId="1629"/>
    <cellStyle name="HUY" xfId="1630"/>
    <cellStyle name="i phÝ kh¸c_B¶ng 2" xfId="1631"/>
    <cellStyle name="I.3" xfId="1632"/>
    <cellStyle name="i·0" xfId="1633"/>
    <cellStyle name="_x0001_í½?" xfId="75"/>
    <cellStyle name="ï-¾È»ê_BiÓu TB" xfId="1634"/>
    <cellStyle name="_x0001_íå_x001b_ô " xfId="76"/>
    <cellStyle name="_x0001_íå_x001b_ô_" xfId="77"/>
    <cellStyle name="Input [yellow]" xfId="78"/>
    <cellStyle name="Input [yellow] 2" xfId="1636"/>
    <cellStyle name="Input 2" xfId="1637"/>
    <cellStyle name="Input 3" xfId="1635"/>
    <cellStyle name="k" xfId="1638"/>
    <cellStyle name="k_TONG HOP KINH PHI" xfId="1639"/>
    <cellStyle name="k_ÿÿÿÿÿ" xfId="1640"/>
    <cellStyle name="k_ÿÿÿÿÿ_1" xfId="1641"/>
    <cellStyle name="k_ÿÿÿÿÿ_2" xfId="1642"/>
    <cellStyle name="Kẻ khung" xfId="1643"/>
    <cellStyle name="kh¸c_Bang Chi tieu" xfId="1646"/>
    <cellStyle name="khanh" xfId="1647"/>
    <cellStyle name="khoa2" xfId="1648"/>
    <cellStyle name="khung" xfId="1649"/>
    <cellStyle name="Kiểm tra Ô" xfId="1644"/>
    <cellStyle name="Kiểu 1" xfId="79"/>
    <cellStyle name="Kiểu 10" xfId="80"/>
    <cellStyle name="Kiểu 11" xfId="81"/>
    <cellStyle name="Kiểu 12" xfId="82"/>
    <cellStyle name="Kiểu 12 2" xfId="83"/>
    <cellStyle name="Kiểu 13" xfId="84"/>
    <cellStyle name="Kiểu 14" xfId="85"/>
    <cellStyle name="Kiểu 15" xfId="86"/>
    <cellStyle name="Kiểu 16" xfId="87"/>
    <cellStyle name="Kiểu 2" xfId="88"/>
    <cellStyle name="Kiểu 3" xfId="89"/>
    <cellStyle name="Kiểu 4" xfId="90"/>
    <cellStyle name="Kiểu 5" xfId="91"/>
    <cellStyle name="Kiểu 6" xfId="92"/>
    <cellStyle name="Kiểu 7" xfId="93"/>
    <cellStyle name="Kiểu 8" xfId="94"/>
    <cellStyle name="Kiểu 9" xfId="95"/>
    <cellStyle name="KL" xfId="1645"/>
    <cellStyle name="LAS - XD 354" xfId="1650"/>
    <cellStyle name="Ledger 17 x 11 in" xfId="1651"/>
    <cellStyle name="left" xfId="1652"/>
    <cellStyle name="Line" xfId="1653"/>
    <cellStyle name="Link Currency (0)" xfId="1654"/>
    <cellStyle name="Link Currency (2)" xfId="1655"/>
    <cellStyle name="Link Units (0)" xfId="1656"/>
    <cellStyle name="Link Units (1)" xfId="1657"/>
    <cellStyle name="Link Units (2)" xfId="1658"/>
    <cellStyle name="Linked Cell 2" xfId="1660"/>
    <cellStyle name="Linked Cell 3" xfId="1659"/>
    <cellStyle name="MAU" xfId="1661"/>
    <cellStyle name="Migliaia (0)_CALPREZZ" xfId="1662"/>
    <cellStyle name="Migliaia_ PESO ELETTR." xfId="1663"/>
    <cellStyle name="Millares [0]_10 AVERIAS MASIVAS + ANT" xfId="1664"/>
    <cellStyle name="Millares_Well Timing" xfId="1665"/>
    <cellStyle name="Milliers [0]_      " xfId="1666"/>
    <cellStyle name="Milliers_      " xfId="1667"/>
    <cellStyle name="Model" xfId="1668"/>
    <cellStyle name="moi" xfId="96"/>
    <cellStyle name="Moneda [0]_Well Timing" xfId="1669"/>
    <cellStyle name="Moneda_Well Timing" xfId="1670"/>
    <cellStyle name="Monetaire" xfId="1671"/>
    <cellStyle name="Monétaire [0]_      " xfId="1672"/>
    <cellStyle name="Monétaire_      " xfId="1673"/>
    <cellStyle name="n" xfId="97"/>
    <cellStyle name="n_1 Bieu 6 thang nam 2011" xfId="1674"/>
    <cellStyle name="n_17 bieu (hung cap nhap)" xfId="1675"/>
    <cellStyle name="n_Bao cao doan cong tac cua Bo thang 4-2010" xfId="1676"/>
    <cellStyle name="n_Bao cao tinh hinh thuc hien KH 2009 den 31-01-10" xfId="1677"/>
    <cellStyle name="n_Book1" xfId="1678"/>
    <cellStyle name="n_Book1_Bieu du thao QD von ho tro co MT 3" xfId="1679"/>
    <cellStyle name="n_Chi tieu 5 nam" xfId="1680"/>
    <cellStyle name="n_goi 4 - qt" xfId="1681"/>
    <cellStyle name="n_Ke hoach 2010 (theo doi)" xfId="1682"/>
    <cellStyle name="n_Ke hoach 2012" xfId="1683"/>
    <cellStyle name="n_Tong hop so lieu" xfId="1684"/>
    <cellStyle name="n_Tong hop theo doi von TPCP (BC)" xfId="1685"/>
    <cellStyle name="n_VBPL kiểm toán Đầu tư XDCB 2010" xfId="1686"/>
    <cellStyle name="Neutral 2" xfId="1688"/>
    <cellStyle name="Neutral 3" xfId="1687"/>
    <cellStyle name="New" xfId="1689"/>
    <cellStyle name="New Times Roman" xfId="1690"/>
    <cellStyle name="New Times Roman 2" xfId="1691"/>
    <cellStyle name="nga" xfId="1752"/>
    <cellStyle name="Nhấn1" xfId="1753"/>
    <cellStyle name="Nhấn2" xfId="1754"/>
    <cellStyle name="Nhấn3" xfId="1755"/>
    <cellStyle name="Nhấn4" xfId="1756"/>
    <cellStyle name="Nhấn5" xfId="1757"/>
    <cellStyle name="Nhấn6" xfId="1758"/>
    <cellStyle name="no dec" xfId="1692"/>
    <cellStyle name="no dec 2" xfId="1693"/>
    <cellStyle name="ÑONVÒ" xfId="1694"/>
    <cellStyle name="Normal" xfId="0" builtinId="0"/>
    <cellStyle name="Normal - ??1" xfId="1695"/>
    <cellStyle name="Normal - Style1" xfId="98"/>
    <cellStyle name="Normal - Style1 2" xfId="1697"/>
    <cellStyle name="Normal - Style1 2 2" xfId="1698"/>
    <cellStyle name="Normal - Style1 2 3" xfId="1699"/>
    <cellStyle name="Normal - Style1 2 4" xfId="1700"/>
    <cellStyle name="Normal - Style1 2_bao cao cuoi thang 5 nam 2017" xfId="1701"/>
    <cellStyle name="Normal - Style1 3" xfId="1702"/>
    <cellStyle name="Normal - Style1 4" xfId="1703"/>
    <cellStyle name="Normal - Style1 5" xfId="1696"/>
    <cellStyle name="Normal - Style1_bao cao cuoi thang 5 nam 2017" xfId="1704"/>
    <cellStyle name="Normal - 유형1" xfId="99"/>
    <cellStyle name="Normal 10" xfId="1705"/>
    <cellStyle name="Normal 11" xfId="1706"/>
    <cellStyle name="Normal 12" xfId="1707"/>
    <cellStyle name="Normal 13" xfId="143"/>
    <cellStyle name="Normal 13 2" xfId="1709"/>
    <cellStyle name="Normal 13 3" xfId="1708"/>
    <cellStyle name="Normal 13_bao cao cuoi thang 5 nam 2017" xfId="1710"/>
    <cellStyle name="Normal 14" xfId="1711"/>
    <cellStyle name="Normal 15" xfId="1712"/>
    <cellStyle name="Normal 16" xfId="1713"/>
    <cellStyle name="Normal 17" xfId="144"/>
    <cellStyle name="Normal 17 2" xfId="1714"/>
    <cellStyle name="Normal 2" xfId="100"/>
    <cellStyle name="Normal 2 2" xfId="1716"/>
    <cellStyle name="Normal 2 2 2" xfId="1717"/>
    <cellStyle name="Normal 2 2 2 2" xfId="1718"/>
    <cellStyle name="Normal 2 2 2 2 2" xfId="1719"/>
    <cellStyle name="Normal 2 2 2 3" xfId="1720"/>
    <cellStyle name="Normal 2 2 2_Bieu cap nhat so lieu chinh thuc nam 2011" xfId="1721"/>
    <cellStyle name="Normal 2 2_bao cao cuoi thang 5 nam 2017" xfId="1722"/>
    <cellStyle name="Normal 2 3" xfId="139"/>
    <cellStyle name="Normal 2 3 2" xfId="1723"/>
    <cellStyle name="Normal 2 4" xfId="1724"/>
    <cellStyle name="Normal 2 5" xfId="1725"/>
    <cellStyle name="Normal 2 6" xfId="1715"/>
    <cellStyle name="Normal 2 6 2" xfId="2319"/>
    <cellStyle name="Normal 2_1 Bieu 6 thang nam 2011" xfId="1726"/>
    <cellStyle name="Normal 3" xfId="101"/>
    <cellStyle name="Normal 3 2" xfId="1728"/>
    <cellStyle name="Normal 3 3" xfId="1729"/>
    <cellStyle name="Normal 3 4" xfId="1730"/>
    <cellStyle name="Normal 3 5" xfId="1727"/>
    <cellStyle name="Normal 3_1 Bieu 6 thang nam 2011" xfId="1731"/>
    <cellStyle name="Normal 4" xfId="102"/>
    <cellStyle name="Normal 4 2" xfId="140"/>
    <cellStyle name="Normal 4 2 2" xfId="1733"/>
    <cellStyle name="Normal 4 3" xfId="1732"/>
    <cellStyle name="Normal 4_bao cao cuoi thang 5 nam 2017" xfId="1734"/>
    <cellStyle name="Normal 5" xfId="1735"/>
    <cellStyle name="Normal 5 2" xfId="1736"/>
    <cellStyle name="Normal 5 3" xfId="1737"/>
    <cellStyle name="Normal 5_bao cao cuoi thang 5 nam 2017" xfId="1738"/>
    <cellStyle name="Normal 6" xfId="103"/>
    <cellStyle name="Normal 6 2" xfId="1740"/>
    <cellStyle name="Normal 6 3" xfId="1739"/>
    <cellStyle name="Normal 6_bao cao cuoi thang 5 nam 2017" xfId="1741"/>
    <cellStyle name="Normal 7" xfId="1742"/>
    <cellStyle name="Normal 8" xfId="1743"/>
    <cellStyle name="Normal 9" xfId="1744"/>
    <cellStyle name="Normal_17 bieu (hung cap nhap)" xfId="104"/>
    <cellStyle name="Normal_UOC KQ 2014 2" xfId="2318"/>
    <cellStyle name="Normal1" xfId="105"/>
    <cellStyle name="Normal8" xfId="1745"/>
    <cellStyle name="NORMAL-ADB" xfId="1746"/>
    <cellStyle name="Normale_ PESO ELETTR." xfId="1747"/>
    <cellStyle name="Normalny_Cennik obowiazuje od 06-08-2001 r (1)" xfId="1748"/>
    <cellStyle name="Note 2" xfId="1750"/>
    <cellStyle name="Note 3" xfId="1749"/>
    <cellStyle name="NWM" xfId="1751"/>
    <cellStyle name="Ô Được nối kết" xfId="1770"/>
    <cellStyle name="Ò_x000d_Normal_123569" xfId="1759"/>
    <cellStyle name="Œ…‹æØ‚è [0.00]_††††† " xfId="1760"/>
    <cellStyle name="Œ…‹æØ‚è_††††† " xfId="1761"/>
    <cellStyle name="oft Excel]_x000d__x000a_Comment=open=/f ‚ðw’è‚·‚é‚ÆAƒ†[ƒU[’è‹`ŠÖ”‚ðŠÖ”“\‚è•t‚¯‚Ìˆê——‚É“o˜^‚·‚é‚±‚Æ‚ª‚Å‚«‚Ü‚·B_x000d__x000a_Maximized" xfId="1762"/>
    <cellStyle name="oft Excel]_x000d__x000a_Comment=open=/f ‚ðŽw’è‚·‚é‚ÆAƒ†[ƒU[’è‹`ŠÖ”‚ðŠÖ”“\‚è•t‚¯‚Ìˆê——‚É“o˜^‚·‚é‚±‚Æ‚ª‚Å‚«‚Ü‚·B_x000d__x000a_Maximized" xfId="1763"/>
    <cellStyle name="oft Excel]_x000d__x000a_Comment=The open=/f lines load custom functions into the Paste Function list._x000d__x000a_Maximized=2_x000d__x000a_Basics=1_x000d__x000a_A" xfId="1764"/>
    <cellStyle name="oft Excel]_x000d__x000a_Comment=The open=/f lines load custom functions into the Paste Function list._x000d__x000a_Maximized=3_x000d__x000a_Basics=1_x000d__x000a_A" xfId="1765"/>
    <cellStyle name="omma [0]_Mktg Prog" xfId="1766"/>
    <cellStyle name="ormal_Sheet1_1" xfId="1767"/>
    <cellStyle name="Output 2" xfId="1769"/>
    <cellStyle name="Output 3" xfId="1768"/>
    <cellStyle name="p" xfId="1771"/>
    <cellStyle name="paint" xfId="1772"/>
    <cellStyle name="Pattern" xfId="1773"/>
    <cellStyle name="per.style" xfId="1774"/>
    <cellStyle name="Percent [0]" xfId="1776"/>
    <cellStyle name="Percent [00]" xfId="1777"/>
    <cellStyle name="Percent [2]" xfId="106"/>
    <cellStyle name="Percent [2] 2" xfId="107"/>
    <cellStyle name="Percent 2" xfId="1778"/>
    <cellStyle name="Percent 2 2" xfId="1779"/>
    <cellStyle name="Percent 2_bao cao cuoi thang 5 nam 2017" xfId="1780"/>
    <cellStyle name="Percent 3" xfId="1781"/>
    <cellStyle name="Percent 4" xfId="1775"/>
    <cellStyle name="PERCENTAGE" xfId="1782"/>
    <cellStyle name="PHONG" xfId="1792"/>
    <cellStyle name="Pourcentage" xfId="1783"/>
    <cellStyle name="PrePop Currency (0)" xfId="1784"/>
    <cellStyle name="PrePop Currency (2)" xfId="1785"/>
    <cellStyle name="PrePop Units (0)" xfId="1786"/>
    <cellStyle name="PrePop Units (1)" xfId="1787"/>
    <cellStyle name="PrePop Units (2)" xfId="1788"/>
    <cellStyle name="pricing" xfId="1789"/>
    <cellStyle name="PSChar" xfId="1790"/>
    <cellStyle name="PSHeading" xfId="1791"/>
    <cellStyle name="regstoresfromspecstores" xfId="1793"/>
    <cellStyle name="RevList" xfId="1794"/>
    <cellStyle name="rlink_tiªn l­în_x001b_Hyperlink_TONG HOP KINH PHI" xfId="1795"/>
    <cellStyle name="rmal_ADAdot" xfId="1796"/>
    <cellStyle name="S—_x0008_" xfId="1797"/>
    <cellStyle name="s]_x000d__x000a_spooler=yes_x000d__x000a_load=_x000d__x000a_Beep=yes_x000d__x000a_NullPort=None_x000d__x000a_BorderWidth=3_x000d__x000a_CursorBlinkRate=1200_x000d__x000a_DoubleClickSpeed=452_x000d__x000a_Programs=co" xfId="1798"/>
    <cellStyle name="SAPBEXaggData" xfId="1799"/>
    <cellStyle name="SAPBEXaggDataEmph" xfId="1800"/>
    <cellStyle name="SAPBEXaggItem" xfId="1801"/>
    <cellStyle name="SAPBEXchaText" xfId="1802"/>
    <cellStyle name="SAPBEXexcBad7" xfId="1803"/>
    <cellStyle name="SAPBEXexcBad8" xfId="1804"/>
    <cellStyle name="SAPBEXexcBad9" xfId="1805"/>
    <cellStyle name="SAPBEXexcCritical4" xfId="1806"/>
    <cellStyle name="SAPBEXexcCritical5" xfId="1807"/>
    <cellStyle name="SAPBEXexcCritical6" xfId="1808"/>
    <cellStyle name="SAPBEXexcGood1" xfId="1809"/>
    <cellStyle name="SAPBEXexcGood2" xfId="1810"/>
    <cellStyle name="SAPBEXexcGood3" xfId="1811"/>
    <cellStyle name="SAPBEXfilterDrill" xfId="1812"/>
    <cellStyle name="SAPBEXfilterItem" xfId="1813"/>
    <cellStyle name="SAPBEXfilterText" xfId="1814"/>
    <cellStyle name="SAPBEXformats" xfId="1815"/>
    <cellStyle name="SAPBEXheaderItem" xfId="1816"/>
    <cellStyle name="SAPBEXheaderText" xfId="1817"/>
    <cellStyle name="SAPBEXresData" xfId="1818"/>
    <cellStyle name="SAPBEXresDataEmph" xfId="1819"/>
    <cellStyle name="SAPBEXresItem" xfId="1820"/>
    <cellStyle name="SAPBEXstdData" xfId="1821"/>
    <cellStyle name="SAPBEXstdDataEmph" xfId="1822"/>
    <cellStyle name="SAPBEXstdItem" xfId="1823"/>
    <cellStyle name="SAPBEXtitle" xfId="1824"/>
    <cellStyle name="SAPBEXundefined" xfId="1825"/>
    <cellStyle name="_x0001_sç?" xfId="108"/>
    <cellStyle name="serJet 1200 Series PCL 6" xfId="1826"/>
    <cellStyle name="SHADEDSTORES" xfId="1827"/>
    <cellStyle name="so" xfId="1828"/>
    <cellStyle name="SO%" xfId="1829"/>
    <cellStyle name="so_Book1" xfId="1830"/>
    <cellStyle name="songuyen" xfId="1831"/>
    <cellStyle name="specstores" xfId="1832"/>
    <cellStyle name="Standard_AAbgleich" xfId="1833"/>
    <cellStyle name="STT" xfId="1834"/>
    <cellStyle name="STTDG" xfId="1835"/>
    <cellStyle name="Style 1" xfId="1836"/>
    <cellStyle name="Style 10" xfId="1837"/>
    <cellStyle name="Style 100" xfId="1838"/>
    <cellStyle name="Style 101" xfId="1839"/>
    <cellStyle name="Style 102" xfId="1840"/>
    <cellStyle name="Style 103" xfId="1841"/>
    <cellStyle name="Style 104" xfId="1842"/>
    <cellStyle name="Style 105" xfId="1843"/>
    <cellStyle name="Style 106" xfId="1844"/>
    <cellStyle name="Style 107" xfId="1845"/>
    <cellStyle name="Style 108" xfId="1846"/>
    <cellStyle name="Style 109" xfId="1847"/>
    <cellStyle name="Style 11" xfId="1848"/>
    <cellStyle name="Style 110" xfId="1849"/>
    <cellStyle name="Style 111" xfId="1850"/>
    <cellStyle name="Style 112" xfId="1851"/>
    <cellStyle name="Style 113" xfId="1852"/>
    <cellStyle name="Style 114" xfId="1853"/>
    <cellStyle name="Style 115" xfId="1854"/>
    <cellStyle name="Style 116" xfId="1855"/>
    <cellStyle name="Style 117" xfId="1856"/>
    <cellStyle name="Style 118" xfId="1857"/>
    <cellStyle name="Style 119" xfId="1858"/>
    <cellStyle name="Style 12" xfId="1859"/>
    <cellStyle name="Style 120" xfId="1860"/>
    <cellStyle name="Style 121" xfId="1861"/>
    <cellStyle name="Style 122" xfId="1862"/>
    <cellStyle name="Style 123" xfId="1863"/>
    <cellStyle name="Style 124" xfId="1864"/>
    <cellStyle name="Style 125" xfId="1865"/>
    <cellStyle name="Style 126" xfId="1866"/>
    <cellStyle name="Style 127" xfId="1867"/>
    <cellStyle name="Style 128" xfId="1868"/>
    <cellStyle name="Style 129" xfId="1869"/>
    <cellStyle name="Style 13" xfId="1870"/>
    <cellStyle name="Style 130" xfId="1871"/>
    <cellStyle name="Style 131" xfId="1872"/>
    <cellStyle name="Style 132" xfId="1873"/>
    <cellStyle name="Style 133" xfId="1874"/>
    <cellStyle name="Style 134" xfId="1875"/>
    <cellStyle name="Style 135" xfId="1876"/>
    <cellStyle name="Style 136" xfId="1877"/>
    <cellStyle name="Style 137" xfId="1878"/>
    <cellStyle name="Style 138" xfId="1879"/>
    <cellStyle name="Style 139" xfId="1880"/>
    <cellStyle name="Style 14" xfId="1881"/>
    <cellStyle name="Style 140" xfId="1882"/>
    <cellStyle name="Style 141" xfId="1883"/>
    <cellStyle name="Style 142" xfId="1884"/>
    <cellStyle name="Style 143" xfId="1885"/>
    <cellStyle name="Style 144" xfId="1886"/>
    <cellStyle name="Style 145" xfId="1887"/>
    <cellStyle name="Style 146" xfId="1888"/>
    <cellStyle name="Style 147" xfId="1889"/>
    <cellStyle name="Style 148" xfId="1890"/>
    <cellStyle name="Style 149" xfId="1891"/>
    <cellStyle name="Style 15" xfId="1892"/>
    <cellStyle name="Style 150" xfId="1893"/>
    <cellStyle name="Style 151" xfId="1894"/>
    <cellStyle name="Style 152" xfId="1895"/>
    <cellStyle name="Style 153" xfId="1896"/>
    <cellStyle name="Style 154" xfId="1897"/>
    <cellStyle name="Style 155" xfId="1898"/>
    <cellStyle name="Style 156" xfId="1899"/>
    <cellStyle name="Style 157" xfId="1900"/>
    <cellStyle name="Style 158" xfId="1901"/>
    <cellStyle name="Style 159" xfId="1902"/>
    <cellStyle name="Style 16" xfId="1903"/>
    <cellStyle name="Style 160" xfId="1904"/>
    <cellStyle name="Style 161" xfId="1905"/>
    <cellStyle name="Style 162" xfId="1906"/>
    <cellStyle name="Style 163" xfId="1907"/>
    <cellStyle name="Style 17" xfId="1908"/>
    <cellStyle name="Style 18" xfId="1909"/>
    <cellStyle name="Style 19" xfId="1910"/>
    <cellStyle name="Style 2" xfId="1911"/>
    <cellStyle name="Style 20" xfId="1912"/>
    <cellStyle name="Style 21" xfId="1913"/>
    <cellStyle name="Style 22" xfId="1914"/>
    <cellStyle name="Style 23" xfId="1915"/>
    <cellStyle name="Style 24" xfId="1916"/>
    <cellStyle name="Style 25" xfId="1917"/>
    <cellStyle name="Style 26" xfId="1918"/>
    <cellStyle name="Style 27" xfId="1919"/>
    <cellStyle name="Style 28" xfId="1920"/>
    <cellStyle name="Style 29" xfId="1921"/>
    <cellStyle name="Style 3" xfId="1922"/>
    <cellStyle name="Style 30" xfId="1923"/>
    <cellStyle name="Style 31" xfId="1924"/>
    <cellStyle name="Style 32" xfId="1925"/>
    <cellStyle name="Style 33" xfId="1926"/>
    <cellStyle name="Style 34" xfId="1927"/>
    <cellStyle name="Style 35" xfId="1928"/>
    <cellStyle name="Style 36" xfId="1929"/>
    <cellStyle name="Style 37" xfId="1930"/>
    <cellStyle name="Style 38" xfId="1931"/>
    <cellStyle name="Style 39" xfId="1932"/>
    <cellStyle name="Style 4" xfId="1933"/>
    <cellStyle name="Style 40" xfId="1934"/>
    <cellStyle name="Style 41" xfId="1935"/>
    <cellStyle name="Style 42" xfId="1936"/>
    <cellStyle name="Style 43" xfId="1937"/>
    <cellStyle name="Style 44" xfId="1938"/>
    <cellStyle name="Style 45" xfId="1939"/>
    <cellStyle name="Style 46" xfId="1940"/>
    <cellStyle name="Style 47" xfId="1941"/>
    <cellStyle name="Style 48" xfId="1942"/>
    <cellStyle name="Style 49" xfId="1943"/>
    <cellStyle name="Style 5" xfId="1944"/>
    <cellStyle name="Style 50" xfId="1945"/>
    <cellStyle name="Style 51" xfId="1946"/>
    <cellStyle name="Style 52" xfId="1947"/>
    <cellStyle name="Style 53" xfId="1948"/>
    <cellStyle name="Style 54" xfId="1949"/>
    <cellStyle name="Style 55" xfId="1950"/>
    <cellStyle name="Style 56" xfId="1951"/>
    <cellStyle name="Style 57" xfId="1952"/>
    <cellStyle name="Style 58" xfId="1953"/>
    <cellStyle name="Style 59" xfId="1954"/>
    <cellStyle name="Style 6" xfId="1955"/>
    <cellStyle name="Style 60" xfId="1956"/>
    <cellStyle name="Style 61" xfId="1957"/>
    <cellStyle name="Style 62" xfId="1958"/>
    <cellStyle name="Style 63" xfId="1959"/>
    <cellStyle name="Style 64" xfId="1960"/>
    <cellStyle name="Style 65" xfId="1961"/>
    <cellStyle name="Style 66" xfId="1962"/>
    <cellStyle name="Style 67" xfId="1963"/>
    <cellStyle name="Style 68" xfId="1964"/>
    <cellStyle name="Style 69" xfId="1965"/>
    <cellStyle name="Style 7" xfId="1966"/>
    <cellStyle name="Style 70" xfId="1967"/>
    <cellStyle name="Style 71" xfId="1968"/>
    <cellStyle name="Style 72" xfId="1969"/>
    <cellStyle name="Style 73" xfId="1970"/>
    <cellStyle name="Style 74" xfId="1971"/>
    <cellStyle name="Style 75" xfId="1972"/>
    <cellStyle name="Style 76" xfId="1973"/>
    <cellStyle name="Style 77" xfId="1974"/>
    <cellStyle name="Style 78" xfId="1975"/>
    <cellStyle name="Style 79" xfId="1976"/>
    <cellStyle name="Style 8" xfId="1977"/>
    <cellStyle name="Style 80" xfId="1978"/>
    <cellStyle name="Style 81" xfId="1979"/>
    <cellStyle name="Style 82" xfId="1980"/>
    <cellStyle name="Style 83" xfId="1981"/>
    <cellStyle name="Style 84" xfId="1982"/>
    <cellStyle name="Style 85" xfId="1983"/>
    <cellStyle name="Style 86" xfId="1984"/>
    <cellStyle name="Style 87" xfId="1985"/>
    <cellStyle name="Style 88" xfId="1986"/>
    <cellStyle name="Style 89" xfId="1987"/>
    <cellStyle name="Style 9" xfId="1988"/>
    <cellStyle name="Style 90" xfId="1989"/>
    <cellStyle name="Style 91" xfId="1990"/>
    <cellStyle name="Style 92" xfId="1991"/>
    <cellStyle name="Style 93" xfId="1992"/>
    <cellStyle name="Style 94" xfId="1993"/>
    <cellStyle name="Style 95" xfId="1994"/>
    <cellStyle name="Style 96" xfId="1995"/>
    <cellStyle name="Style 97" xfId="1996"/>
    <cellStyle name="Style 98" xfId="1997"/>
    <cellStyle name="Style 99" xfId="1998"/>
    <cellStyle name="Style Date" xfId="1999"/>
    <cellStyle name="style_1" xfId="2000"/>
    <cellStyle name="subhead" xfId="2001"/>
    <cellStyle name="Subtotal" xfId="2002"/>
    <cellStyle name="symbol" xfId="2003"/>
    <cellStyle name="T" xfId="109"/>
    <cellStyle name="T_1 Bieu 6 thang nam 2011" xfId="2004"/>
    <cellStyle name="T_BANG LUONG MOI KSDH va KSDC (co phu cap khu vuc)" xfId="2005"/>
    <cellStyle name="T_bao cao" xfId="2006"/>
    <cellStyle name="T_Bao cao so lieu kiem toan nam 2007 sua" xfId="2007"/>
    <cellStyle name="T_Bao cao tinh hinh thuc hien KH 2009 den 31-01-10" xfId="2008"/>
    <cellStyle name="T_BBTNG-06" xfId="2009"/>
    <cellStyle name="T_BC cong trinh trong diem" xfId="2010"/>
    <cellStyle name="T_BC cong trinh trong diem_Bieu 6 thang nam 2012 (binh)" xfId="2011"/>
    <cellStyle name="T_BC CTMT-2008 Ttinh" xfId="2012"/>
    <cellStyle name="T_BC CTMT-2008 Ttinh_bieu tong hop" xfId="2013"/>
    <cellStyle name="T_BC CTMT-2008 Ttinh_Tong hop ra soat von ung 2011 -Chau" xfId="2014"/>
    <cellStyle name="T_BC CTMT-2008 Ttinh_Tong hop -Yte-Giao thong-Thuy loi-24-6" xfId="2015"/>
    <cellStyle name="T_Bc_tuan_1_CKy_6_KONTUM" xfId="2016"/>
    <cellStyle name="T_Bc_tuan_1_CKy_6_KONTUM_bao cao cuoi thang 5 nam 2017" xfId="2017"/>
    <cellStyle name="T_Bc_tuan_1_CKy_6_KONTUM_Bao cao tinh hinh thuc hien KH 2009 den 31-01-10" xfId="2018"/>
    <cellStyle name="T_Bc_tuan_1_CKy_6_KONTUM_Bieu1" xfId="2019"/>
    <cellStyle name="T_Bc_tuan_1_CKy_6_KONTUM_Book1" xfId="2020"/>
    <cellStyle name="T_Bc_tuan_1_CKy_6_KONTUM_CVLN_ _09_SKH-STC thuc hien KH 2008 keo dai_29-9-09_THE" xfId="2021"/>
    <cellStyle name="T_Bieu mau danh muc du an thuoc CTMTQG nam 2008" xfId="2022"/>
    <cellStyle name="T_Bieu mau danh muc du an thuoc CTMTQG nam 2008_bieu tong hop" xfId="2023"/>
    <cellStyle name="T_Bieu mau danh muc du an thuoc CTMTQG nam 2008_Tong hop ra soat von ung 2011 -Chau" xfId="2024"/>
    <cellStyle name="T_Bieu mau danh muc du an thuoc CTMTQG nam 2008_Tong hop -Yte-Giao thong-Thuy loi-24-6" xfId="2025"/>
    <cellStyle name="T_Bieu tong hop nhu cau ung 2011 da chon loc -Mien nui" xfId="2026"/>
    <cellStyle name="T_Bieu1" xfId="2027"/>
    <cellStyle name="T_Book1" xfId="2028"/>
    <cellStyle name="T_Book1_1" xfId="2029"/>
    <cellStyle name="T_Book1_1_Bieu mau ung 2011-Mien Trung-TPCP-11-6" xfId="2030"/>
    <cellStyle name="T_Book1_1_bieu tong hop" xfId="2031"/>
    <cellStyle name="T_Book1_1_Bieu tong hop nhu cau ung 2011 da chon loc -Mien nui" xfId="2032"/>
    <cellStyle name="T_Book1_1_Book1" xfId="2033"/>
    <cellStyle name="T_Book1_1_CPK" xfId="2034"/>
    <cellStyle name="T_Book1_1_Khoi luong cac hang muc chi tiet-702" xfId="2037"/>
    <cellStyle name="T_Book1_1_khoiluongbdacdoa" xfId="2038"/>
    <cellStyle name="T_Book1_1_KL NT dap nen Dot 3" xfId="2035"/>
    <cellStyle name="T_Book1_1_KL NT Dot 3" xfId="2036"/>
    <cellStyle name="T_Book1_1_mau KL vach son" xfId="2039"/>
    <cellStyle name="T_Book1_1_Nhu cau tam ung NSNN&amp;TPCP&amp;ODA theo tieu chi cua Bo (CV410_BKH-TH)_vung Tay Nguyen (11.6.2010)" xfId="2040"/>
    <cellStyle name="T_Book1_1_Thiet bi" xfId="2043"/>
    <cellStyle name="T_Book1_1_Thong ke cong" xfId="2044"/>
    <cellStyle name="T_Book1_1_Tong hop ra soat von ung 2011 -Chau" xfId="2041"/>
    <cellStyle name="T_Book1_1_Tong hop -Yte-Giao thong-Thuy loi-24-6" xfId="2042"/>
    <cellStyle name="T_Book1_2" xfId="2045"/>
    <cellStyle name="T_Book1_2_DTDuong dong tien -sua tham tra 2009 - luong 650" xfId="2046"/>
    <cellStyle name="T_Book1_bao cao cuoi thang 5 nam 2017" xfId="2047"/>
    <cellStyle name="T_Book1_Bao cao kiem toan kh 2010" xfId="2048"/>
    <cellStyle name="T_Book1_Bao cao tinh hinh thuc hien KH 2009 den 31-01-10" xfId="2049"/>
    <cellStyle name="T_Book1_Bieu mau danh muc du an thuoc CTMTQG nam 2008" xfId="2050"/>
    <cellStyle name="T_Book1_Bieu mau danh muc du an thuoc CTMTQG nam 2008_bieu tong hop" xfId="2051"/>
    <cellStyle name="T_Book1_Bieu mau danh muc du an thuoc CTMTQG nam 2008_Tong hop ra soat von ung 2011 -Chau" xfId="2052"/>
    <cellStyle name="T_Book1_Bieu mau danh muc du an thuoc CTMTQG nam 2008_Tong hop -Yte-Giao thong-Thuy loi-24-6" xfId="2053"/>
    <cellStyle name="T_Book1_Bieu tong hop nhu cau ung 2011 da chon loc -Mien nui" xfId="2054"/>
    <cellStyle name="T_Book1_Bieu1" xfId="2055"/>
    <cellStyle name="T_Book1_Book1" xfId="2056"/>
    <cellStyle name="T_Book1_Book1_1" xfId="2057"/>
    <cellStyle name="T_Book1_CPK" xfId="2058"/>
    <cellStyle name="T_Book1_DT492" xfId="2059"/>
    <cellStyle name="T_Book1_DT972000" xfId="2060"/>
    <cellStyle name="T_Book1_DTDuong dong tien -sua tham tra 2009 - luong 650" xfId="2061"/>
    <cellStyle name="T_Book1_Du an khoi cong moi nam 2010" xfId="2062"/>
    <cellStyle name="T_Book1_Du an khoi cong moi nam 2010_bieu tong hop" xfId="2063"/>
    <cellStyle name="T_Book1_Du an khoi cong moi nam 2010_Tong hop ra soat von ung 2011 -Chau" xfId="2064"/>
    <cellStyle name="T_Book1_Du an khoi cong moi nam 2010_Tong hop -Yte-Giao thong-Thuy loi-24-6" xfId="2065"/>
    <cellStyle name="T_Book1_Du toan khao sat (bo sung 2009)" xfId="2066"/>
    <cellStyle name="T_Book1_Hang Tom goi9 9-07(Cau 12 sua)" xfId="2067"/>
    <cellStyle name="T_Book1_HECO-NR78-Gui a-Vinh(15-5-07)" xfId="2068"/>
    <cellStyle name="T_Book1_Ke hoach 2010 (theo doi)2" xfId="2069"/>
    <cellStyle name="T_Book1_Ket qua phan bo von nam 2008" xfId="2070"/>
    <cellStyle name="T_Book1_KH XDCB_2008 lan 2 sua ngay 10-11" xfId="2073"/>
    <cellStyle name="T_Book1_Khoi luong cac hang muc chi tiet-702" xfId="2074"/>
    <cellStyle name="T_Book1_Khoi luong chinh Hang Tom" xfId="2075"/>
    <cellStyle name="T_Book1_khoiluongbdacdoa" xfId="2076"/>
    <cellStyle name="T_Book1_KL NT dap nen Dot 3" xfId="2071"/>
    <cellStyle name="T_Book1_KL NT Dot 3" xfId="2072"/>
    <cellStyle name="T_Book1_mau bieu doan giam sat 2010 (version 2)" xfId="2077"/>
    <cellStyle name="T_Book1_mau KL vach son" xfId="2078"/>
    <cellStyle name="T_Book1_Nhu cau von ung truoc 2011 Tha h Hoa + Nge An gui TW" xfId="2079"/>
    <cellStyle name="T_Book1_QD UBND tinh" xfId="2080"/>
    <cellStyle name="T_Book1_Ra soat KH 2008 (chinh thuc)" xfId="2081"/>
    <cellStyle name="T_Book1_Ra soat KH 2009 (chinh thuc o nha)" xfId="2082"/>
    <cellStyle name="T_Book1_San sat hach moi" xfId="2083"/>
    <cellStyle name="T_Book1_Thiet bi" xfId="2085"/>
    <cellStyle name="T_Book1_Thong ke cong" xfId="2086"/>
    <cellStyle name="T_Book1_Tong hop 3 tinh (11_5)-TTH-QN-QT" xfId="2084"/>
    <cellStyle name="T_Book1_ung 2011 - 11-6-Thanh hoa-Nghe an" xfId="2087"/>
    <cellStyle name="T_Book1_ung truoc 2011 NSTW Thanh Hoa + Nge An gui Thu 12-5" xfId="2088"/>
    <cellStyle name="T_Book1_VBPL kiểm toán Đầu tư XDCB 2010" xfId="2089"/>
    <cellStyle name="T_Book1_Worksheet in D: My Documents Luc Van ban xu ly Nam 2011 Bao cao ra soat tam ung TPCP" xfId="2090"/>
    <cellStyle name="T_CDKT" xfId="2091"/>
    <cellStyle name="T_Chi tieu 5 nam" xfId="2106"/>
    <cellStyle name="T_Chi tieu 5 nam_BC cong trinh trong diem" xfId="2107"/>
    <cellStyle name="T_Chi tieu 5 nam_BC cong trinh trong diem_Bieu 6 thang nam 2012 (binh)" xfId="2108"/>
    <cellStyle name="T_Chi tieu 5 nam_Danh muc cong trinh trong diem (04.5.12) (1)" xfId="2109"/>
    <cellStyle name="T_Chi tieu 5 nam_Danh muc cong trinh trong diem (15.8.11)" xfId="2110"/>
    <cellStyle name="T_Chi tieu 5 nam_Danh muc cong trinh trong diem (25.5.12)" xfId="2111"/>
    <cellStyle name="T_Chi tieu 5 nam_Danh muc cong trinh trong diem (25.9.11)" xfId="2112"/>
    <cellStyle name="T_Chi tieu 5 nam_Danh muc cong trinh trong diem (31.8.11)" xfId="2113"/>
    <cellStyle name="T_Chi tieu 5 nam_pvhung.skhdt 20117113152041 Danh muc cong trinh trong diem" xfId="2114"/>
    <cellStyle name="T_Chuan bi dau tu nam 2008" xfId="2115"/>
    <cellStyle name="T_Chuan bi dau tu nam 2008_bieu tong hop" xfId="2116"/>
    <cellStyle name="T_Chuan bi dau tu nam 2008_Tong hop ra soat von ung 2011 -Chau" xfId="2117"/>
    <cellStyle name="T_Chuan bi dau tu nam 2008_Tong hop -Yte-Giao thong-Thuy loi-24-6" xfId="2118"/>
    <cellStyle name="T_Copy of Bao cao  XDCB 7 thang nam 2008_So KH&amp;DT SUA" xfId="2092"/>
    <cellStyle name="T_Copy of Bao cao  XDCB 7 thang nam 2008_So KH&amp;DT SUA_bieu tong hop" xfId="2093"/>
    <cellStyle name="T_Copy of Bao cao  XDCB 7 thang nam 2008_So KH&amp;DT SUA_Tong hop ra soat von ung 2011 -Chau" xfId="2094"/>
    <cellStyle name="T_Copy of Bao cao  XDCB 7 thang nam 2008_So KH&amp;DT SUA_Tong hop -Yte-Giao thong-Thuy loi-24-6" xfId="2095"/>
    <cellStyle name="T_Copy of KS Du an dau tu" xfId="2096"/>
    <cellStyle name="T_Cost for DD (summary)" xfId="2097"/>
    <cellStyle name="T_CPK" xfId="2098"/>
    <cellStyle name="T_CTMTQG 2008" xfId="2099"/>
    <cellStyle name="T_CTMTQG 2008_Bieu mau danh muc du an thuoc CTMTQG nam 2008" xfId="2100"/>
    <cellStyle name="T_CTMTQG 2008_Hi-Tong hop KQ phan bo KH nam 08- LD fong giao 15-11-08" xfId="2101"/>
    <cellStyle name="T_CTMTQG 2008_Ket qua thuc hien nam 2008" xfId="2102"/>
    <cellStyle name="T_CTMTQG 2008_KH XDCB_2008 lan 1" xfId="2103"/>
    <cellStyle name="T_CTMTQG 2008_KH XDCB_2008 lan 1 sua ngay 27-10" xfId="2104"/>
    <cellStyle name="T_CTMTQG 2008_KH XDCB_2008 lan 2 sua ngay 10-11" xfId="2105"/>
    <cellStyle name="T_Danh muc cong trinh trong diem (04.5.12) (1)" xfId="2119"/>
    <cellStyle name="T_Danh muc cong trinh trong diem (15.8.11)" xfId="2120"/>
    <cellStyle name="T_Danh muc cong trinh trong diem (25.5.12)" xfId="2121"/>
    <cellStyle name="T_Danh muc cong trinh trong diem (25.9.11)" xfId="2122"/>
    <cellStyle name="T_Danh muc cong trinh trong diem (31.8.11)" xfId="2123"/>
    <cellStyle name="T_DK bo tri lai (chinh thuc)" xfId="2124"/>
    <cellStyle name="T_DT972000" xfId="2125"/>
    <cellStyle name="T_DTDuong dong tien -sua tham tra 2009 - luong 650" xfId="2126"/>
    <cellStyle name="T_dtTL598G1." xfId="2127"/>
    <cellStyle name="T_Du an khoi cong moi nam 2010" xfId="2128"/>
    <cellStyle name="T_Du an khoi cong moi nam 2010_bieu tong hop" xfId="2129"/>
    <cellStyle name="T_Du an khoi cong moi nam 2010_Tong hop ra soat von ung 2011 -Chau" xfId="2130"/>
    <cellStyle name="T_Du an khoi cong moi nam 2010_Tong hop -Yte-Giao thong-Thuy loi-24-6" xfId="2131"/>
    <cellStyle name="T_DU AN TKQH VA CHUAN BI DAU TU NAM 2007 sua ngay 9-11" xfId="2132"/>
    <cellStyle name="T_DU AN TKQH VA CHUAN BI DAU TU NAM 2007 sua ngay 9-11_Bieu mau danh muc du an thuoc CTMTQG nam 2008" xfId="2133"/>
    <cellStyle name="T_DU AN TKQH VA CHUAN BI DAU TU NAM 2007 sua ngay 9-11_Bieu mau danh muc du an thuoc CTMTQG nam 2008_bieu tong hop" xfId="2134"/>
    <cellStyle name="T_DU AN TKQH VA CHUAN BI DAU TU NAM 2007 sua ngay 9-11_Bieu mau danh muc du an thuoc CTMTQG nam 2008_Tong hop ra soat von ung 2011 -Chau" xfId="2135"/>
    <cellStyle name="T_DU AN TKQH VA CHUAN BI DAU TU NAM 2007 sua ngay 9-11_Bieu mau danh muc du an thuoc CTMTQG nam 2008_Tong hop -Yte-Giao thong-Thuy loi-24-6" xfId="2136"/>
    <cellStyle name="T_DU AN TKQH VA CHUAN BI DAU TU NAM 2007 sua ngay 9-11_Du an khoi cong moi nam 2010" xfId="2137"/>
    <cellStyle name="T_DU AN TKQH VA CHUAN BI DAU TU NAM 2007 sua ngay 9-11_Du an khoi cong moi nam 2010_bieu tong hop" xfId="2138"/>
    <cellStyle name="T_DU AN TKQH VA CHUAN BI DAU TU NAM 2007 sua ngay 9-11_Du an khoi cong moi nam 2010_Tong hop ra soat von ung 2011 -Chau" xfId="2139"/>
    <cellStyle name="T_DU AN TKQH VA CHUAN BI DAU TU NAM 2007 sua ngay 9-11_Du an khoi cong moi nam 2010_Tong hop -Yte-Giao thong-Thuy loi-24-6" xfId="2140"/>
    <cellStyle name="T_DU AN TKQH VA CHUAN BI DAU TU NAM 2007 sua ngay 9-11_Ket qua phan bo von nam 2008" xfId="2141"/>
    <cellStyle name="T_DU AN TKQH VA CHUAN BI DAU TU NAM 2007 sua ngay 9-11_KH XDCB_2008 lan 2 sua ngay 10-11" xfId="2142"/>
    <cellStyle name="T_du toan dieu chinh  20-8-2006" xfId="2143"/>
    <cellStyle name="T_Du toan khao sat (bo sung 2009)" xfId="2144"/>
    <cellStyle name="T_du toan lan 3" xfId="2145"/>
    <cellStyle name="T_Ke hoach 2012" xfId="2146"/>
    <cellStyle name="T_Ke hoach KTXH  nam 2009_PKT thang 11 nam 2008" xfId="2147"/>
    <cellStyle name="T_Ke hoach KTXH  nam 2009_PKT thang 11 nam 2008_bieu tong hop" xfId="2148"/>
    <cellStyle name="T_Ke hoach KTXH  nam 2009_PKT thang 11 nam 2008_Tong hop ra soat von ung 2011 -Chau" xfId="2149"/>
    <cellStyle name="T_Ke hoach KTXH  nam 2009_PKT thang 11 nam 2008_Tong hop -Yte-Giao thong-Thuy loi-24-6" xfId="2150"/>
    <cellStyle name="T_Ket qua dau thau" xfId="2151"/>
    <cellStyle name="T_Ket qua dau thau_bieu tong hop" xfId="2152"/>
    <cellStyle name="T_Ket qua dau thau_Tong hop ra soat von ung 2011 -Chau" xfId="2153"/>
    <cellStyle name="T_Ket qua dau thau_Tong hop -Yte-Giao thong-Thuy loi-24-6" xfId="2154"/>
    <cellStyle name="T_Ket qua phan bo von nam 2008" xfId="2155"/>
    <cellStyle name="T_KH XDCB_2008 lan 2 sua ngay 10-11" xfId="2160"/>
    <cellStyle name="T_Khao satD1" xfId="2161"/>
    <cellStyle name="T_Khoi luong cac hang muc chi tiet-702" xfId="2162"/>
    <cellStyle name="T_KL NT dap nen Dot 3" xfId="2156"/>
    <cellStyle name="T_KL NT Dot 3" xfId="2157"/>
    <cellStyle name="T_Kl VL ranh" xfId="2158"/>
    <cellStyle name="T_KLNMD1" xfId="2159"/>
    <cellStyle name="T_mau bieu doan giam sat 2010 (version 2)" xfId="2163"/>
    <cellStyle name="T_mau KL vach son" xfId="2164"/>
    <cellStyle name="T_Me_Tri_6_07" xfId="2165"/>
    <cellStyle name="T_N2 thay dat (N1-1)" xfId="2166"/>
    <cellStyle name="T_Phuong an can doi nam 2008" xfId="2168"/>
    <cellStyle name="T_Phuong an can doi nam 2008_bieu tong hop" xfId="2169"/>
    <cellStyle name="T_Phuong an can doi nam 2008_Tong hop ra soat von ung 2011 -Chau" xfId="2170"/>
    <cellStyle name="T_Phuong an can doi nam 2008_Tong hop -Yte-Giao thong-Thuy loi-24-6" xfId="2171"/>
    <cellStyle name="T_pvhung.skhdt 20117113152041 Danh muc cong trinh trong diem" xfId="2167"/>
    <cellStyle name="T_ra soat bao cao thang 11.2011" xfId="2172"/>
    <cellStyle name="T_ra soat bao cao thang 11.2011 2" xfId="2173"/>
    <cellStyle name="T_Ra soat KH 2008 (chinh thuc)" xfId="2174"/>
    <cellStyle name="T_Ra soat KH 2009 (chinh thuc o nha)" xfId="2175"/>
    <cellStyle name="T_San sat hach moi" xfId="2176"/>
    <cellStyle name="T_Seagame(BTL)" xfId="2177"/>
    <cellStyle name="T_So GTVT" xfId="2178"/>
    <cellStyle name="T_So GTVT_bieu tong hop" xfId="2179"/>
    <cellStyle name="T_So GTVT_Tong hop ra soat von ung 2011 -Chau" xfId="2180"/>
    <cellStyle name="T_So GTVT_Tong hop -Yte-Giao thong-Thuy loi-24-6" xfId="2181"/>
    <cellStyle name="T_SS BVTC cau va cong tuyen Le Chan" xfId="2182"/>
    <cellStyle name="T_Tay Bac 1" xfId="2183"/>
    <cellStyle name="T_Tay Bac 1_bao cao cuoi thang 5 nam 2017" xfId="2184"/>
    <cellStyle name="T_Tay Bac 1_Bao cao kiem toan kh 2010" xfId="2185"/>
    <cellStyle name="T_Tay Bac 1_Bao cao tinh hinh thuc hien KH 2009 den 31-01-10" xfId="2186"/>
    <cellStyle name="T_Tay Bac 1_Bieu1" xfId="2187"/>
    <cellStyle name="T_Tay Bac 1_Book1" xfId="2188"/>
    <cellStyle name="T_Tay Bac 1_Ke hoach 2010 (theo doi)2" xfId="2189"/>
    <cellStyle name="T_Tay Bac 1_QD UBND tinh" xfId="2190"/>
    <cellStyle name="T_Tay Bac 1_Ra soat KH 2008 (chinh thuc)" xfId="2191"/>
    <cellStyle name="T_Tay Bac 1_Ra soat KH 2009 (chinh thuc o nha)" xfId="2192"/>
    <cellStyle name="T_Tay Bac 1_Worksheet in D: My Documents Luc Van ban xu ly Nam 2011 Bao cao ra soat tam ung TPCP" xfId="2193"/>
    <cellStyle name="T_TDT + duong(8-5-07)" xfId="2194"/>
    <cellStyle name="T_tham_tra_du_toan" xfId="2214"/>
    <cellStyle name="T_Thiet bi" xfId="2215"/>
    <cellStyle name="T_THKL 1303" xfId="2216"/>
    <cellStyle name="T_Thong ke" xfId="2217"/>
    <cellStyle name="T_Thong ke cong" xfId="2218"/>
    <cellStyle name="T_thong ke giao dan sinh" xfId="2219"/>
    <cellStyle name="T_tien2004" xfId="2195"/>
    <cellStyle name="T_TKE-ChoDon-sua" xfId="2196"/>
    <cellStyle name="T_Tong hop 3 tinh (11_5)-TTH-QN-QT" xfId="2197"/>
    <cellStyle name="T_Tong hop khoi luong Dot 3" xfId="2198"/>
    <cellStyle name="T_Tong hop so lieu" xfId="2199"/>
    <cellStyle name="T_Tong hop so lieu_BC cong trinh trong diem" xfId="2200"/>
    <cellStyle name="T_Tong hop so lieu_BC cong trinh trong diem_Bieu 6 thang nam 2012 (binh)" xfId="2201"/>
    <cellStyle name="T_Tong hop so lieu_Danh muc cong trinh trong diem (04.5.12) (1)" xfId="2202"/>
    <cellStyle name="T_Tong hop so lieu_Danh muc cong trinh trong diem (15.8.11)" xfId="2203"/>
    <cellStyle name="T_Tong hop so lieu_Danh muc cong trinh trong diem (25.5.12)" xfId="2204"/>
    <cellStyle name="T_Tong hop so lieu_Danh muc cong trinh trong diem (25.9.11)" xfId="2205"/>
    <cellStyle name="T_Tong hop so lieu_Danh muc cong trinh trong diem (31.8.11)" xfId="2206"/>
    <cellStyle name="T_Tong hop so lieu_pvhung.skhdt 20117113152041 Danh muc cong trinh trong diem" xfId="2207"/>
    <cellStyle name="T_Tong hop theo doi von TPCP" xfId="2208"/>
    <cellStyle name="T_Tong hop theo doi von TPCP (BC)" xfId="2209"/>
    <cellStyle name="T_Tong hop theo doi von TPCP_Bao cao kiem toan kh 2010" xfId="2210"/>
    <cellStyle name="T_Tong hop theo doi von TPCP_Ke hoach 2010 (theo doi)2" xfId="2211"/>
    <cellStyle name="T_Tong hop theo doi von TPCP_QD UBND tinh" xfId="2212"/>
    <cellStyle name="T_Tong hop theo doi von TPCP_Worksheet in D: My Documents Luc Van ban xu ly Nam 2011 Bao cao ra soat tam ung TPCP" xfId="2213"/>
    <cellStyle name="T_VBPL kiểm toán Đầu tư XDCB 2010" xfId="2220"/>
    <cellStyle name="T_Worksheet in D: ... Hoan thien 5goi theo KL cu 28-06 4.Cong 5goi Coc 33-Km1+490.13 Cong coc 33-km1+490.13" xfId="2221"/>
    <cellStyle name="T_ÿÿÿÿÿ" xfId="2222"/>
    <cellStyle name="Tentruong" xfId="2223"/>
    <cellStyle name="Text" xfId="110"/>
    <cellStyle name="Text Indent A" xfId="2224"/>
    <cellStyle name="Text Indent B" xfId="2225"/>
    <cellStyle name="Text Indent C" xfId="2226"/>
    <cellStyle name="Text_1 Bieu 6 thang nam 2011" xfId="2227"/>
    <cellStyle name="th" xfId="112"/>
    <cellStyle name="than" xfId="2247"/>
    <cellStyle name="thanh" xfId="113"/>
    <cellStyle name="þ_x001d_ð¤_x000c_¯þ_x0014__x000d_¨þU_x0001_À_x0004_ _x0015__x000f__x0001__x0001_" xfId="2248"/>
    <cellStyle name="þ_x001d_ð·_x000c_æþ'_x000d_ßþU_x0001_Ø_x0005_ü_x0014__x0007__x0001__x0001_" xfId="2249"/>
    <cellStyle name="þ_x001d_ðÇ%Uý—&amp;Hý9_x0008_Ÿ s_x000a__x0007__x0001__x0001_" xfId="2250"/>
    <cellStyle name="þ_x001d_ðK_x000c_Fý_x001b__x000d_9ýU_x0001_Ð_x0008_¦)_x0007__x0001__x0001_" xfId="2251"/>
    <cellStyle name="thuong-10" xfId="2252"/>
    <cellStyle name="thuong-11" xfId="2253"/>
    <cellStyle name="Thuyet minh" xfId="2254"/>
    <cellStyle name="Tien1" xfId="2228"/>
    <cellStyle name="Tiêu đề" xfId="2229"/>
    <cellStyle name="Times New Roman" xfId="2230"/>
    <cellStyle name="Tính toán" xfId="2231"/>
    <cellStyle name="tit1" xfId="2232"/>
    <cellStyle name="tit2" xfId="2233"/>
    <cellStyle name="tit3" xfId="2234"/>
    <cellStyle name="tit4" xfId="2235"/>
    <cellStyle name="Title 2" xfId="2237"/>
    <cellStyle name="Title 3" xfId="2236"/>
    <cellStyle name="Tổng" xfId="2241"/>
    <cellStyle name="Tongcong" xfId="2238"/>
    <cellStyle name="Tốt" xfId="2242"/>
    <cellStyle name="Total" xfId="111"/>
    <cellStyle name="Total 2" xfId="2240"/>
    <cellStyle name="Total 3" xfId="2239"/>
    <cellStyle name="trang" xfId="2255"/>
    <cellStyle name="Trung tính" xfId="2256"/>
    <cellStyle name="tt1" xfId="2243"/>
    <cellStyle name="Tuan" xfId="2244"/>
    <cellStyle name="Tusental (0)_pldt" xfId="2245"/>
    <cellStyle name="Tusental_pldt" xfId="2246"/>
    <cellStyle name="u" xfId="2257"/>
    <cellStyle name="ux_3_¼­¿ï-¾È»ê" xfId="2258"/>
    <cellStyle name="Valuta (0)_CALPREZZ" xfId="2259"/>
    <cellStyle name="Valuta_ PESO ELETTR." xfId="2260"/>
    <cellStyle name="Văn bản Cảnh báo" xfId="2262"/>
    <cellStyle name="Văn bản Giải thích" xfId="2263"/>
    <cellStyle name="VANG1" xfId="2261"/>
    <cellStyle name="viet" xfId="114"/>
    <cellStyle name="viet2" xfId="115"/>
    <cellStyle name="Vietnam 1" xfId="2264"/>
    <cellStyle name="VN new romanNormal" xfId="2265"/>
    <cellStyle name="vn time 10" xfId="2266"/>
    <cellStyle name="Vn Time 13" xfId="2267"/>
    <cellStyle name="Vn Time 14" xfId="2268"/>
    <cellStyle name="VN time new roman" xfId="2269"/>
    <cellStyle name="vn_time" xfId="2270"/>
    <cellStyle name="vnbo" xfId="2271"/>
    <cellStyle name="vnhead1" xfId="2276"/>
    <cellStyle name="vnhead2" xfId="2277"/>
    <cellStyle name="vnhead3" xfId="2278"/>
    <cellStyle name="vnhead4" xfId="2279"/>
    <cellStyle name="vntxt1" xfId="2272"/>
    <cellStyle name="vntxt1 2" xfId="2273"/>
    <cellStyle name="vntxt1_bao cao cuoi thang 5 nam 2017" xfId="2274"/>
    <cellStyle name="vntxt2" xfId="2275"/>
    <cellStyle name="W?hrung [0]_35ERI8T2gbIEMixb4v26icuOo" xfId="2280"/>
    <cellStyle name="W?hrung_35ERI8T2gbIEMixb4v26icuOo" xfId="2281"/>
    <cellStyle name="Währung [0]_68574_Materialbedarfsliste" xfId="2282"/>
    <cellStyle name="Währung_68574_Materialbedarfsliste" xfId="2283"/>
    <cellStyle name="Walutowy [0]_Invoices2001Slovakia" xfId="2284"/>
    <cellStyle name="Walutowy_Invoices2001Slovakia" xfId="2285"/>
    <cellStyle name="Warning Text 2" xfId="2287"/>
    <cellStyle name="Warning Text 3" xfId="2286"/>
    <cellStyle name="wrap" xfId="2288"/>
    <cellStyle name="Wไhrung [0]_35ERI8T2gbIEMixb4v26icuOo" xfId="2289"/>
    <cellStyle name="Wไhrung_35ERI8T2gbIEMixb4v26icuOo" xfId="2290"/>
    <cellStyle name="Xấu" xfId="2291"/>
    <cellStyle name="xuan" xfId="116"/>
    <cellStyle name="y" xfId="2292"/>
    <cellStyle name="Ý kh¸c_B¶ng 1 (2)" xfId="2293"/>
    <cellStyle name="เครื่องหมายสกุลเงิน [0]_FTC_OFFER" xfId="2294"/>
    <cellStyle name="เครื่องหมายสกุลเงิน_FTC_OFFER" xfId="2295"/>
    <cellStyle name="ปกติ_FTC_OFFER" xfId="2296"/>
    <cellStyle name=" [0.00]_ Att. 1- Cover" xfId="117"/>
    <cellStyle name="_ Att. 1- Cover" xfId="118"/>
    <cellStyle name="?_ Att. 1- Cover" xfId="119"/>
    <cellStyle name="똿뗦먛귟 [0.00]_PRODUCT DETAIL Q1" xfId="120"/>
    <cellStyle name="똿뗦먛귟_PRODUCT DETAIL Q1" xfId="121"/>
    <cellStyle name="믅됞 [0.00]_PRODUCT DETAIL Q1" xfId="122"/>
    <cellStyle name="믅됞_PRODUCT DETAIL Q1" xfId="123"/>
    <cellStyle name="백분율_††††† " xfId="2297"/>
    <cellStyle name="뷭?_BOOKSHIP" xfId="124"/>
    <cellStyle name="안건회계법인" xfId="2298"/>
    <cellStyle name="콤마 [ - 유형1" xfId="125"/>
    <cellStyle name="콤마 [ - 유형1 2" xfId="2299"/>
    <cellStyle name="콤마 [ - 유형2" xfId="126"/>
    <cellStyle name="콤마 [ - 유형2 2" xfId="2300"/>
    <cellStyle name="콤마 [ - 유형3" xfId="127"/>
    <cellStyle name="콤마 [ - 유형3 2" xfId="2301"/>
    <cellStyle name="콤마 [ - 유형4" xfId="128"/>
    <cellStyle name="콤마 [ - 유형4 2" xfId="2302"/>
    <cellStyle name="콤마 [ - 유형5" xfId="129"/>
    <cellStyle name="콤마 [ - 유형5 2" xfId="2303"/>
    <cellStyle name="콤마 [ - 유형6" xfId="130"/>
    <cellStyle name="콤마 [ - 유형6 2" xfId="2304"/>
    <cellStyle name="콤마 [ - 유형7" xfId="131"/>
    <cellStyle name="콤마 [ - 유형7 2" xfId="2305"/>
    <cellStyle name="콤마 [ - 유형8" xfId="132"/>
    <cellStyle name="콤마 [ - 유형8 2" xfId="2306"/>
    <cellStyle name="콤마 [0]_ 비목별 월별기술 " xfId="2307"/>
    <cellStyle name="콤마_ 비목별 월별기술 " xfId="2308"/>
    <cellStyle name="통화 [0]_††††† " xfId="2309"/>
    <cellStyle name="통화_††††† " xfId="2310"/>
    <cellStyle name="표준_ 97년 경영분석(안)" xfId="2311"/>
    <cellStyle name="표줠_Sheet1_1_총괄표 (수출입) (2)" xfId="2312"/>
    <cellStyle name="一般_00Q3902REV.1" xfId="133"/>
    <cellStyle name="千分位[0]_00Q3902REV.1" xfId="134"/>
    <cellStyle name="千分位_00Q3902REV.1" xfId="135"/>
    <cellStyle name="桁区切り [0.00]_BE-BQ" xfId="2313"/>
    <cellStyle name="桁区切り_BE-BQ" xfId="2314"/>
    <cellStyle name="標準_(A1)BOQ " xfId="2315"/>
    <cellStyle name="貨幣 [0]_00Q3902REV.1" xfId="136"/>
    <cellStyle name="貨幣[0]_BRE" xfId="137"/>
    <cellStyle name="貨幣_00Q3902REV.1" xfId="138"/>
    <cellStyle name="通貨 [0.00]_BE-BQ" xfId="2316"/>
    <cellStyle name="通貨_BE-BQ" xfId="231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369794</xdr:colOff>
      <xdr:row>2</xdr:row>
      <xdr:rowOff>224118</xdr:rowOff>
    </xdr:from>
    <xdr:to>
      <xdr:col>6</xdr:col>
      <xdr:colOff>762000</xdr:colOff>
      <xdr:row>2</xdr:row>
      <xdr:rowOff>224118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720353" y="694765"/>
          <a:ext cx="284629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Q160"/>
  <sheetViews>
    <sheetView tabSelected="1" zoomScaleNormal="100" zoomScaleSheetLayoutView="100" zoomScalePageLayoutView="85" workbookViewId="0">
      <pane ySplit="7" topLeftCell="A155" activePane="bottomLeft" state="frozen"/>
      <selection pane="bottomLeft" activeCell="M123" sqref="M123"/>
    </sheetView>
  </sheetViews>
  <sheetFormatPr defaultColWidth="9.109375" defaultRowHeight="13.8" outlineLevelRow="1"/>
  <cols>
    <col min="1" max="1" width="6.5546875" style="595" customWidth="1"/>
    <col min="2" max="2" width="36.109375" style="407" customWidth="1"/>
    <col min="3" max="3" width="12.33203125" style="595" customWidth="1"/>
    <col min="4" max="4" width="12.5546875" style="407" customWidth="1"/>
    <col min="5" max="5" width="11.88671875" style="407" customWidth="1"/>
    <col min="6" max="6" width="11.88671875" style="560" customWidth="1"/>
    <col min="7" max="7" width="11.88671875" style="596" customWidth="1"/>
    <col min="8" max="9" width="12" style="407" customWidth="1"/>
    <col min="10" max="10" width="12" style="595" customWidth="1"/>
    <col min="11" max="11" width="12" style="407" customWidth="1"/>
    <col min="12" max="12" width="12" style="407" hidden="1" customWidth="1"/>
    <col min="13" max="13" width="9.5546875" style="407" customWidth="1"/>
    <col min="14" max="14" width="12.33203125" style="406" customWidth="1"/>
    <col min="15" max="15" width="13.109375" style="407" customWidth="1"/>
    <col min="16" max="16384" width="9.109375" style="407"/>
  </cols>
  <sheetData>
    <row r="1" spans="1:15">
      <c r="A1" s="632" t="s">
        <v>748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</row>
    <row r="2" spans="1:15">
      <c r="A2" s="632" t="s">
        <v>749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</row>
    <row r="3" spans="1:15">
      <c r="A3" s="633" t="s">
        <v>730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</row>
    <row r="5" spans="1:15" ht="15.75" customHeight="1">
      <c r="A5" s="634" t="s">
        <v>32</v>
      </c>
      <c r="B5" s="634" t="s">
        <v>42</v>
      </c>
      <c r="C5" s="634" t="s">
        <v>4</v>
      </c>
      <c r="D5" s="640" t="s">
        <v>721</v>
      </c>
      <c r="E5" s="636" t="s">
        <v>731</v>
      </c>
      <c r="F5" s="637"/>
      <c r="G5" s="638"/>
      <c r="H5" s="642" t="s">
        <v>226</v>
      </c>
      <c r="I5" s="642"/>
      <c r="J5" s="640" t="s">
        <v>745</v>
      </c>
      <c r="K5" s="639" t="s">
        <v>752</v>
      </c>
      <c r="L5" s="634" t="s">
        <v>733</v>
      </c>
      <c r="M5" s="634" t="s">
        <v>46</v>
      </c>
    </row>
    <row r="6" spans="1:15" ht="48.75" customHeight="1">
      <c r="A6" s="635"/>
      <c r="B6" s="635"/>
      <c r="C6" s="635"/>
      <c r="D6" s="641"/>
      <c r="E6" s="409" t="s">
        <v>757</v>
      </c>
      <c r="F6" s="408" t="s">
        <v>742</v>
      </c>
      <c r="G6" s="410" t="s">
        <v>743</v>
      </c>
      <c r="H6" s="411" t="s">
        <v>744</v>
      </c>
      <c r="I6" s="411" t="s">
        <v>732</v>
      </c>
      <c r="J6" s="641"/>
      <c r="K6" s="639"/>
      <c r="L6" s="635"/>
      <c r="M6" s="635"/>
    </row>
    <row r="7" spans="1:15">
      <c r="A7" s="412">
        <v>1</v>
      </c>
      <c r="B7" s="412">
        <v>2</v>
      </c>
      <c r="C7" s="412">
        <v>3</v>
      </c>
      <c r="D7" s="412">
        <v>4</v>
      </c>
      <c r="E7" s="412">
        <v>5</v>
      </c>
      <c r="F7" s="414">
        <v>6</v>
      </c>
      <c r="G7" s="413">
        <v>7</v>
      </c>
      <c r="H7" s="412" t="s">
        <v>750</v>
      </c>
      <c r="I7" s="412" t="s">
        <v>232</v>
      </c>
      <c r="J7" s="412">
        <v>10</v>
      </c>
      <c r="K7" s="414">
        <v>11</v>
      </c>
      <c r="L7" s="412" t="s">
        <v>756</v>
      </c>
      <c r="M7" s="412"/>
    </row>
    <row r="8" spans="1:15" ht="20.25" customHeight="1">
      <c r="A8" s="415"/>
      <c r="B8" s="416" t="s">
        <v>754</v>
      </c>
      <c r="C8" s="415"/>
      <c r="D8" s="415"/>
      <c r="E8" s="415"/>
      <c r="F8" s="419"/>
      <c r="G8" s="417"/>
      <c r="H8" s="418"/>
      <c r="I8" s="418"/>
      <c r="J8" s="418"/>
      <c r="K8" s="419"/>
      <c r="L8" s="418"/>
      <c r="M8" s="420"/>
    </row>
    <row r="9" spans="1:15" ht="19.5" customHeight="1" collapsed="1">
      <c r="A9" s="421" t="s">
        <v>23</v>
      </c>
      <c r="B9" s="422" t="s">
        <v>127</v>
      </c>
      <c r="C9" s="423"/>
      <c r="D9" s="424"/>
      <c r="E9" s="424"/>
      <c r="F9" s="427"/>
      <c r="G9" s="425"/>
      <c r="H9" s="426"/>
      <c r="I9" s="426"/>
      <c r="J9" s="597"/>
      <c r="K9" s="427"/>
      <c r="L9" s="426"/>
      <c r="M9" s="426"/>
      <c r="O9" s="428"/>
    </row>
    <row r="10" spans="1:15" s="436" customFormat="1" ht="19.5" customHeight="1">
      <c r="A10" s="429" t="s">
        <v>21</v>
      </c>
      <c r="B10" s="430" t="s">
        <v>72</v>
      </c>
      <c r="C10" s="431" t="s">
        <v>57</v>
      </c>
      <c r="D10" s="432">
        <v>377832</v>
      </c>
      <c r="E10" s="432">
        <v>486068</v>
      </c>
      <c r="F10" s="434">
        <v>456515</v>
      </c>
      <c r="G10" s="433">
        <v>608452</v>
      </c>
      <c r="H10" s="443">
        <f>F10/D10%</f>
        <v>120.8248639607021</v>
      </c>
      <c r="I10" s="443">
        <f>G10/E10%</f>
        <v>125.17837010459441</v>
      </c>
      <c r="J10" s="598" t="s">
        <v>751</v>
      </c>
      <c r="K10" s="434">
        <v>562641</v>
      </c>
      <c r="L10" s="443">
        <f>K10/G10%</f>
        <v>92.470893349023413</v>
      </c>
      <c r="M10" s="435"/>
      <c r="O10" s="437"/>
    </row>
    <row r="11" spans="1:15" s="448" customFormat="1" ht="19.5" customHeight="1">
      <c r="A11" s="438" t="s">
        <v>65</v>
      </c>
      <c r="B11" s="439" t="s">
        <v>73</v>
      </c>
      <c r="C11" s="440" t="s">
        <v>57</v>
      </c>
      <c r="D11" s="441">
        <v>130000</v>
      </c>
      <c r="E11" s="441">
        <v>140000</v>
      </c>
      <c r="F11" s="444">
        <v>99315</v>
      </c>
      <c r="G11" s="442">
        <v>156564</v>
      </c>
      <c r="H11" s="443">
        <f t="shared" ref="H11:H79" si="0">F11/D11%</f>
        <v>76.396153846153851</v>
      </c>
      <c r="I11" s="443">
        <f t="shared" ref="I11:I79" si="1">G11/E11%</f>
        <v>111.83142857142857</v>
      </c>
      <c r="J11" s="598" t="s">
        <v>751</v>
      </c>
      <c r="K11" s="444">
        <v>145000</v>
      </c>
      <c r="L11" s="443">
        <f t="shared" ref="L11:L79" si="2">K11/G11%</f>
        <v>92.613883140440961</v>
      </c>
      <c r="M11" s="445"/>
      <c r="N11" s="446"/>
      <c r="O11" s="447"/>
    </row>
    <row r="12" spans="1:15" s="457" customFormat="1" ht="19.5" customHeight="1">
      <c r="A12" s="438" t="s">
        <v>65</v>
      </c>
      <c r="B12" s="449" t="s">
        <v>206</v>
      </c>
      <c r="C12" s="450" t="s">
        <v>57</v>
      </c>
      <c r="D12" s="451">
        <v>98370</v>
      </c>
      <c r="E12" s="451">
        <v>107313</v>
      </c>
      <c r="F12" s="453">
        <v>75058</v>
      </c>
      <c r="G12" s="452">
        <v>120961</v>
      </c>
      <c r="H12" s="443">
        <f t="shared" si="0"/>
        <v>76.30171800345633</v>
      </c>
      <c r="I12" s="443">
        <f t="shared" si="1"/>
        <v>112.71793724898194</v>
      </c>
      <c r="J12" s="598" t="s">
        <v>751</v>
      </c>
      <c r="K12" s="453">
        <v>112571</v>
      </c>
      <c r="L12" s="443">
        <f t="shared" si="2"/>
        <v>93.06388009358389</v>
      </c>
      <c r="M12" s="454"/>
      <c r="N12" s="455"/>
      <c r="O12" s="456"/>
    </row>
    <row r="13" spans="1:15" s="436" customFormat="1" ht="18.75" customHeight="1">
      <c r="A13" s="429" t="s">
        <v>22</v>
      </c>
      <c r="B13" s="430" t="s">
        <v>74</v>
      </c>
      <c r="C13" s="431" t="s">
        <v>57</v>
      </c>
      <c r="D13" s="432">
        <v>373369</v>
      </c>
      <c r="E13" s="432">
        <v>346202</v>
      </c>
      <c r="F13" s="434">
        <v>312847</v>
      </c>
      <c r="G13" s="433">
        <v>517430</v>
      </c>
      <c r="H13" s="443">
        <f t="shared" si="0"/>
        <v>83.790298605401091</v>
      </c>
      <c r="I13" s="443">
        <f t="shared" si="1"/>
        <v>149.45898637211801</v>
      </c>
      <c r="J13" s="598" t="s">
        <v>751</v>
      </c>
      <c r="K13" s="434">
        <v>530212</v>
      </c>
      <c r="L13" s="443">
        <f t="shared" si="2"/>
        <v>102.47028583576522</v>
      </c>
      <c r="M13" s="435"/>
      <c r="N13" s="458"/>
      <c r="O13" s="437"/>
    </row>
    <row r="14" spans="1:15" s="448" customFormat="1">
      <c r="A14" s="438" t="s">
        <v>65</v>
      </c>
      <c r="B14" s="439" t="s">
        <v>75</v>
      </c>
      <c r="C14" s="440" t="s">
        <v>57</v>
      </c>
      <c r="D14" s="441">
        <v>346763</v>
      </c>
      <c r="E14" s="441">
        <v>364763</v>
      </c>
      <c r="F14" s="444">
        <v>260954</v>
      </c>
      <c r="G14" s="442">
        <v>400706</v>
      </c>
      <c r="H14" s="443">
        <f t="shared" si="0"/>
        <v>75.254280300954832</v>
      </c>
      <c r="I14" s="443">
        <f t="shared" si="1"/>
        <v>109.85379547815978</v>
      </c>
      <c r="J14" s="598" t="s">
        <v>751</v>
      </c>
      <c r="K14" s="444">
        <v>467354</v>
      </c>
      <c r="L14" s="443">
        <f t="shared" si="2"/>
        <v>116.63264338442649</v>
      </c>
      <c r="M14" s="445"/>
      <c r="N14" s="459"/>
      <c r="O14" s="460"/>
    </row>
    <row r="15" spans="1:15" ht="20.25" customHeight="1">
      <c r="A15" s="461" t="s">
        <v>24</v>
      </c>
      <c r="B15" s="462" t="s">
        <v>77</v>
      </c>
      <c r="C15" s="463"/>
      <c r="D15" s="441"/>
      <c r="E15" s="441"/>
      <c r="F15" s="444"/>
      <c r="G15" s="442"/>
      <c r="H15" s="426"/>
      <c r="I15" s="443"/>
      <c r="J15" s="597"/>
      <c r="K15" s="444"/>
      <c r="L15" s="443"/>
      <c r="M15" s="426"/>
      <c r="N15" s="464"/>
      <c r="O15" s="465"/>
    </row>
    <row r="16" spans="1:15" ht="20.25" customHeight="1">
      <c r="A16" s="466" t="s">
        <v>33</v>
      </c>
      <c r="B16" s="467" t="s">
        <v>169</v>
      </c>
      <c r="C16" s="466" t="s">
        <v>20</v>
      </c>
      <c r="D16" s="468">
        <f>D17+D57</f>
        <v>19156.5</v>
      </c>
      <c r="E16" s="468">
        <f>E17+E57</f>
        <v>19583</v>
      </c>
      <c r="F16" s="470">
        <f>F17+F57</f>
        <v>19947.400000000001</v>
      </c>
      <c r="G16" s="469">
        <f>G17+G57</f>
        <v>19947.400000000001</v>
      </c>
      <c r="H16" s="443">
        <f t="shared" si="0"/>
        <v>104.1286247487798</v>
      </c>
      <c r="I16" s="443">
        <f t="shared" si="1"/>
        <v>101.86079763059797</v>
      </c>
      <c r="J16" s="598" t="s">
        <v>751</v>
      </c>
      <c r="K16" s="470">
        <f>K17+K57</f>
        <v>20816</v>
      </c>
      <c r="L16" s="443">
        <f t="shared" si="2"/>
        <v>104.35445220931048</v>
      </c>
      <c r="M16" s="471"/>
      <c r="N16" s="472"/>
      <c r="O16" s="473"/>
    </row>
    <row r="17" spans="1:15" s="480" customFormat="1" ht="17.25" customHeight="1">
      <c r="A17" s="421" t="s">
        <v>21</v>
      </c>
      <c r="B17" s="462" t="s">
        <v>190</v>
      </c>
      <c r="C17" s="421" t="s">
        <v>20</v>
      </c>
      <c r="D17" s="474">
        <f>D18+D47+D50+D54</f>
        <v>6986.5</v>
      </c>
      <c r="E17" s="474">
        <f>E18+E47+E50+E54</f>
        <v>7019</v>
      </c>
      <c r="F17" s="476">
        <f>F18+F47+F50+F54</f>
        <v>6995.4</v>
      </c>
      <c r="G17" s="475">
        <f>G18+G47+G50+G54</f>
        <v>6995.4</v>
      </c>
      <c r="H17" s="443">
        <f t="shared" si="0"/>
        <v>100.12738853503186</v>
      </c>
      <c r="I17" s="443">
        <f t="shared" si="1"/>
        <v>99.663769767773189</v>
      </c>
      <c r="J17" s="598" t="s">
        <v>751</v>
      </c>
      <c r="K17" s="476">
        <f>K18+K47+K50+K54</f>
        <v>7089</v>
      </c>
      <c r="L17" s="443">
        <f t="shared" si="2"/>
        <v>101.33802212882752</v>
      </c>
      <c r="M17" s="477"/>
      <c r="N17" s="478"/>
      <c r="O17" s="479"/>
    </row>
    <row r="18" spans="1:15" s="480" customFormat="1" ht="17.25" customHeight="1">
      <c r="A18" s="421">
        <v>1</v>
      </c>
      <c r="B18" s="462" t="s">
        <v>7</v>
      </c>
      <c r="C18" s="421" t="s">
        <v>20</v>
      </c>
      <c r="D18" s="474">
        <f t="shared" ref="D18:E18" si="3">D23+D38</f>
        <v>1625</v>
      </c>
      <c r="E18" s="474">
        <f t="shared" si="3"/>
        <v>1622</v>
      </c>
      <c r="F18" s="476">
        <f t="shared" ref="F18:G18" si="4">F23+F38</f>
        <v>1626</v>
      </c>
      <c r="G18" s="475">
        <f t="shared" si="4"/>
        <v>1626</v>
      </c>
      <c r="H18" s="443">
        <f t="shared" si="0"/>
        <v>100.06153846153846</v>
      </c>
      <c r="I18" s="443">
        <f t="shared" si="1"/>
        <v>100.24660912453761</v>
      </c>
      <c r="J18" s="597"/>
      <c r="K18" s="476">
        <f>K23+K38</f>
        <v>1612</v>
      </c>
      <c r="L18" s="443">
        <f t="shared" si="2"/>
        <v>99.138991389913883</v>
      </c>
      <c r="M18" s="477"/>
      <c r="N18" s="472"/>
      <c r="O18" s="481"/>
    </row>
    <row r="19" spans="1:15" ht="17.25" customHeight="1">
      <c r="A19" s="466" t="s">
        <v>33</v>
      </c>
      <c r="B19" s="467" t="s">
        <v>8</v>
      </c>
      <c r="C19" s="466" t="s">
        <v>5</v>
      </c>
      <c r="D19" s="468">
        <f t="shared" ref="D19" si="5">SUM(D20:D21)</f>
        <v>7841.4960000000001</v>
      </c>
      <c r="E19" s="468">
        <f t="shared" ref="E19" si="6">SUM(E20:E21)</f>
        <v>8188.8499999999995</v>
      </c>
      <c r="F19" s="470">
        <f t="shared" ref="F19:G19" si="7">SUM(F20:F21)</f>
        <v>8211.1299999999992</v>
      </c>
      <c r="G19" s="469">
        <f t="shared" si="7"/>
        <v>8211.1299999999992</v>
      </c>
      <c r="H19" s="443">
        <f t="shared" si="0"/>
        <v>104.71381991395518</v>
      </c>
      <c r="I19" s="443">
        <f t="shared" si="1"/>
        <v>100.27207727580796</v>
      </c>
      <c r="J19" s="598" t="s">
        <v>751</v>
      </c>
      <c r="K19" s="470">
        <f>SUM(K20:K21)</f>
        <v>8195.2999999999993</v>
      </c>
      <c r="L19" s="443">
        <f t="shared" si="2"/>
        <v>99.807212892744374</v>
      </c>
      <c r="M19" s="471"/>
      <c r="N19" s="482"/>
    </row>
    <row r="20" spans="1:15" ht="17.25" customHeight="1">
      <c r="A20" s="483" t="s">
        <v>65</v>
      </c>
      <c r="B20" s="484" t="s">
        <v>746</v>
      </c>
      <c r="C20" s="466" t="s">
        <v>47</v>
      </c>
      <c r="D20" s="468">
        <f t="shared" ref="D20:E20" si="8">D25</f>
        <v>7118.88</v>
      </c>
      <c r="E20" s="468">
        <f t="shared" si="8"/>
        <v>7277.45</v>
      </c>
      <c r="F20" s="470">
        <f t="shared" ref="F20:G20" si="9">F25</f>
        <v>7277.45</v>
      </c>
      <c r="G20" s="469">
        <f t="shared" si="9"/>
        <v>7277.45</v>
      </c>
      <c r="H20" s="443">
        <f t="shared" si="0"/>
        <v>102.22745712808756</v>
      </c>
      <c r="I20" s="443">
        <f t="shared" si="1"/>
        <v>100</v>
      </c>
      <c r="J20" s="598" t="s">
        <v>751</v>
      </c>
      <c r="K20" s="470">
        <f>K25</f>
        <v>7280.5499999999993</v>
      </c>
      <c r="L20" s="443">
        <f t="shared" si="2"/>
        <v>100.04259733835339</v>
      </c>
      <c r="M20" s="471"/>
      <c r="N20" s="482"/>
    </row>
    <row r="21" spans="1:15" ht="17.25" customHeight="1">
      <c r="A21" s="483" t="s">
        <v>65</v>
      </c>
      <c r="B21" s="467" t="s">
        <v>61</v>
      </c>
      <c r="C21" s="466" t="s">
        <v>47</v>
      </c>
      <c r="D21" s="468">
        <f t="shared" ref="D21:E21" si="10">D40</f>
        <v>722.61599999999999</v>
      </c>
      <c r="E21" s="468">
        <f t="shared" si="10"/>
        <v>911.4</v>
      </c>
      <c r="F21" s="470">
        <f t="shared" ref="F21:G21" si="11">F40</f>
        <v>933.68000000000006</v>
      </c>
      <c r="G21" s="469">
        <f t="shared" si="11"/>
        <v>933.68000000000006</v>
      </c>
      <c r="H21" s="443">
        <f t="shared" si="0"/>
        <v>129.2083208785856</v>
      </c>
      <c r="I21" s="443">
        <f t="shared" si="1"/>
        <v>102.44459073952163</v>
      </c>
      <c r="J21" s="598" t="s">
        <v>751</v>
      </c>
      <c r="K21" s="470">
        <f>K40</f>
        <v>914.75</v>
      </c>
      <c r="L21" s="443">
        <f t="shared" si="2"/>
        <v>97.972538771313509</v>
      </c>
      <c r="M21" s="471"/>
    </row>
    <row r="22" spans="1:15" ht="17.25" customHeight="1">
      <c r="A22" s="466" t="s">
        <v>33</v>
      </c>
      <c r="B22" s="467" t="s">
        <v>10</v>
      </c>
      <c r="C22" s="466" t="s">
        <v>34</v>
      </c>
      <c r="D22" s="468">
        <v>151.6</v>
      </c>
      <c r="E22" s="468">
        <f>E19/E115*1000</f>
        <v>155.8504463011248</v>
      </c>
      <c r="F22" s="470">
        <v>151.6</v>
      </c>
      <c r="G22" s="469">
        <v>151.6</v>
      </c>
      <c r="H22" s="443">
        <f t="shared" si="0"/>
        <v>100</v>
      </c>
      <c r="I22" s="443">
        <f t="shared" si="1"/>
        <v>97.272740372579776</v>
      </c>
      <c r="J22" s="598"/>
      <c r="K22" s="470">
        <v>152</v>
      </c>
      <c r="L22" s="443">
        <f t="shared" si="2"/>
        <v>100.26385224274406</v>
      </c>
      <c r="M22" s="471"/>
    </row>
    <row r="23" spans="1:15" s="480" customFormat="1" ht="17.25" customHeight="1">
      <c r="A23" s="421" t="s">
        <v>17</v>
      </c>
      <c r="B23" s="485" t="s">
        <v>191</v>
      </c>
      <c r="C23" s="421" t="s">
        <v>20</v>
      </c>
      <c r="D23" s="474">
        <f t="shared" ref="D23:E23" si="12">D26+D29</f>
        <v>1490</v>
      </c>
      <c r="E23" s="474">
        <f t="shared" si="12"/>
        <v>1452</v>
      </c>
      <c r="F23" s="476">
        <f t="shared" ref="F23:G23" si="13">F26+F29</f>
        <v>1452</v>
      </c>
      <c r="G23" s="475">
        <f t="shared" si="13"/>
        <v>1452</v>
      </c>
      <c r="H23" s="443">
        <f t="shared" si="0"/>
        <v>97.449664429530202</v>
      </c>
      <c r="I23" s="443">
        <f t="shared" si="1"/>
        <v>100</v>
      </c>
      <c r="J23" s="598" t="s">
        <v>751</v>
      </c>
      <c r="K23" s="476">
        <f>K26+K29</f>
        <v>1442</v>
      </c>
      <c r="L23" s="443">
        <f t="shared" si="2"/>
        <v>99.311294765840216</v>
      </c>
      <c r="M23" s="477"/>
      <c r="N23" s="486"/>
    </row>
    <row r="24" spans="1:15" ht="17.25" customHeight="1">
      <c r="A24" s="483" t="s">
        <v>65</v>
      </c>
      <c r="B24" s="487" t="s">
        <v>11</v>
      </c>
      <c r="C24" s="466" t="s">
        <v>6</v>
      </c>
      <c r="D24" s="488">
        <f t="shared" ref="D24:E24" si="14">D25/D23*10</f>
        <v>47.777718120805368</v>
      </c>
      <c r="E24" s="488">
        <f t="shared" si="14"/>
        <v>50.120179063360879</v>
      </c>
      <c r="F24" s="490">
        <f t="shared" ref="F24:G24" si="15">F25/F23*10</f>
        <v>50.120179063360879</v>
      </c>
      <c r="G24" s="489">
        <f t="shared" si="15"/>
        <v>50.120179063360879</v>
      </c>
      <c r="H24" s="443">
        <f t="shared" si="0"/>
        <v>104.90283135044798</v>
      </c>
      <c r="I24" s="443">
        <f t="shared" si="1"/>
        <v>100</v>
      </c>
      <c r="J24" s="598"/>
      <c r="K24" s="490">
        <f>K25/K23*10</f>
        <v>50.489251040221902</v>
      </c>
      <c r="L24" s="443">
        <f t="shared" si="2"/>
        <v>100.73637401892449</v>
      </c>
      <c r="M24" s="471"/>
    </row>
    <row r="25" spans="1:15" ht="17.25" customHeight="1">
      <c r="A25" s="483" t="s">
        <v>65</v>
      </c>
      <c r="B25" s="487" t="s">
        <v>12</v>
      </c>
      <c r="C25" s="466" t="s">
        <v>47</v>
      </c>
      <c r="D25" s="468">
        <f t="shared" ref="D25:E25" si="16">D28+D31</f>
        <v>7118.88</v>
      </c>
      <c r="E25" s="468">
        <f t="shared" si="16"/>
        <v>7277.45</v>
      </c>
      <c r="F25" s="470">
        <f t="shared" ref="F25:G25" si="17">F28+F31</f>
        <v>7277.45</v>
      </c>
      <c r="G25" s="469">
        <f t="shared" si="17"/>
        <v>7277.45</v>
      </c>
      <c r="H25" s="443">
        <f t="shared" si="0"/>
        <v>102.22745712808756</v>
      </c>
      <c r="I25" s="443">
        <f t="shared" si="1"/>
        <v>100</v>
      </c>
      <c r="J25" s="598"/>
      <c r="K25" s="470">
        <f>K28+K31</f>
        <v>7280.5499999999993</v>
      </c>
      <c r="L25" s="443">
        <f t="shared" si="2"/>
        <v>100.04259733835339</v>
      </c>
      <c r="M25" s="471"/>
    </row>
    <row r="26" spans="1:15" s="480" customFormat="1" ht="17.25" customHeight="1">
      <c r="A26" s="421" t="s">
        <v>183</v>
      </c>
      <c r="B26" s="491" t="s">
        <v>192</v>
      </c>
      <c r="C26" s="421" t="s">
        <v>20</v>
      </c>
      <c r="D26" s="474">
        <v>559</v>
      </c>
      <c r="E26" s="474">
        <v>557</v>
      </c>
      <c r="F26" s="476">
        <v>557</v>
      </c>
      <c r="G26" s="475">
        <v>557</v>
      </c>
      <c r="H26" s="443">
        <f t="shared" si="0"/>
        <v>99.642218246869419</v>
      </c>
      <c r="I26" s="443">
        <f t="shared" si="1"/>
        <v>100</v>
      </c>
      <c r="J26" s="598" t="s">
        <v>751</v>
      </c>
      <c r="K26" s="476">
        <v>557</v>
      </c>
      <c r="L26" s="443">
        <f t="shared" si="2"/>
        <v>100</v>
      </c>
      <c r="M26" s="477"/>
      <c r="N26" s="486"/>
    </row>
    <row r="27" spans="1:15" ht="17.25" customHeight="1">
      <c r="A27" s="483" t="s">
        <v>65</v>
      </c>
      <c r="B27" s="492" t="s">
        <v>11</v>
      </c>
      <c r="C27" s="466" t="s">
        <v>6</v>
      </c>
      <c r="D27" s="488">
        <v>51.7</v>
      </c>
      <c r="E27" s="488">
        <v>53</v>
      </c>
      <c r="F27" s="490">
        <v>53</v>
      </c>
      <c r="G27" s="488">
        <v>53</v>
      </c>
      <c r="H27" s="443">
        <f t="shared" si="0"/>
        <v>102.51450676982591</v>
      </c>
      <c r="I27" s="443">
        <f t="shared" si="1"/>
        <v>100</v>
      </c>
      <c r="J27" s="598"/>
      <c r="K27" s="488">
        <v>53</v>
      </c>
      <c r="L27" s="443">
        <f t="shared" si="2"/>
        <v>100</v>
      </c>
      <c r="M27" s="471"/>
    </row>
    <row r="28" spans="1:15" ht="17.25" customHeight="1">
      <c r="A28" s="483" t="s">
        <v>65</v>
      </c>
      <c r="B28" s="493" t="s">
        <v>12</v>
      </c>
      <c r="C28" s="466" t="s">
        <v>47</v>
      </c>
      <c r="D28" s="468">
        <v>2890</v>
      </c>
      <c r="E28" s="468">
        <v>2951</v>
      </c>
      <c r="F28" s="470">
        <v>2951</v>
      </c>
      <c r="G28" s="469">
        <v>2951</v>
      </c>
      <c r="H28" s="443">
        <f t="shared" si="0"/>
        <v>102.11072664359862</v>
      </c>
      <c r="I28" s="443">
        <f t="shared" si="1"/>
        <v>100</v>
      </c>
      <c r="J28" s="598"/>
      <c r="K28" s="470">
        <f t="shared" ref="K28" si="18">K26*K27/10</f>
        <v>2952.1</v>
      </c>
      <c r="L28" s="443">
        <f t="shared" si="2"/>
        <v>100.03727549983056</v>
      </c>
      <c r="M28" s="471"/>
    </row>
    <row r="29" spans="1:15" s="480" customFormat="1" ht="17.25" customHeight="1">
      <c r="A29" s="421" t="s">
        <v>184</v>
      </c>
      <c r="B29" s="491" t="s">
        <v>193</v>
      </c>
      <c r="C29" s="421" t="s">
        <v>20</v>
      </c>
      <c r="D29" s="474">
        <f t="shared" ref="D29" si="19">D32+D35</f>
        <v>931</v>
      </c>
      <c r="E29" s="474">
        <v>895</v>
      </c>
      <c r="F29" s="476">
        <f t="shared" ref="F29:G29" si="20">F32+F35</f>
        <v>895</v>
      </c>
      <c r="G29" s="475">
        <f t="shared" si="20"/>
        <v>895</v>
      </c>
      <c r="H29" s="443">
        <f t="shared" si="0"/>
        <v>96.133190118152513</v>
      </c>
      <c r="I29" s="443">
        <f t="shared" si="1"/>
        <v>100.00000000000001</v>
      </c>
      <c r="J29" s="598" t="s">
        <v>751</v>
      </c>
      <c r="K29" s="476">
        <f>K32+K35</f>
        <v>885</v>
      </c>
      <c r="L29" s="443">
        <f t="shared" si="2"/>
        <v>98.882681564245814</v>
      </c>
      <c r="M29" s="477"/>
      <c r="N29" s="486"/>
    </row>
    <row r="30" spans="1:15" ht="17.25" customHeight="1">
      <c r="A30" s="483" t="s">
        <v>65</v>
      </c>
      <c r="B30" s="493" t="s">
        <v>11</v>
      </c>
      <c r="C30" s="466" t="s">
        <v>6</v>
      </c>
      <c r="D30" s="488">
        <f t="shared" ref="D30:E30" si="21">D31/D29*10</f>
        <v>45.422986036519866</v>
      </c>
      <c r="E30" s="488">
        <f t="shared" si="21"/>
        <v>48.340223463687153</v>
      </c>
      <c r="F30" s="490">
        <f t="shared" ref="F30:G30" si="22">F31/F29*10</f>
        <v>48.340223463687153</v>
      </c>
      <c r="G30" s="489">
        <f t="shared" si="22"/>
        <v>48.340223463687153</v>
      </c>
      <c r="H30" s="443">
        <f t="shared" si="0"/>
        <v>106.42238144542466</v>
      </c>
      <c r="I30" s="443">
        <f t="shared" si="1"/>
        <v>100</v>
      </c>
      <c r="J30" s="598"/>
      <c r="K30" s="490">
        <f>K31/K29*10</f>
        <v>48.909039548022591</v>
      </c>
      <c r="L30" s="443">
        <f t="shared" si="2"/>
        <v>101.17669312133555</v>
      </c>
      <c r="M30" s="471"/>
    </row>
    <row r="31" spans="1:15" ht="17.25" customHeight="1">
      <c r="A31" s="483" t="s">
        <v>65</v>
      </c>
      <c r="B31" s="493" t="s">
        <v>12</v>
      </c>
      <c r="C31" s="466" t="s">
        <v>47</v>
      </c>
      <c r="D31" s="468">
        <f t="shared" ref="D31:E31" si="23">D34+D37</f>
        <v>4228.88</v>
      </c>
      <c r="E31" s="468">
        <f t="shared" si="23"/>
        <v>4326.45</v>
      </c>
      <c r="F31" s="470">
        <f t="shared" ref="F31:G31" si="24">F34+F37</f>
        <v>4326.45</v>
      </c>
      <c r="G31" s="469">
        <f t="shared" si="24"/>
        <v>4326.45</v>
      </c>
      <c r="H31" s="443">
        <f t="shared" si="0"/>
        <v>102.30723028319554</v>
      </c>
      <c r="I31" s="443">
        <f t="shared" si="1"/>
        <v>100</v>
      </c>
      <c r="J31" s="598"/>
      <c r="K31" s="470">
        <f>K34+K37</f>
        <v>4328.45</v>
      </c>
      <c r="L31" s="443">
        <f t="shared" si="2"/>
        <v>100.04622727640444</v>
      </c>
      <c r="M31" s="471"/>
    </row>
    <row r="32" spans="1:15" s="480" customFormat="1" ht="17.25" customHeight="1">
      <c r="A32" s="483" t="s">
        <v>65</v>
      </c>
      <c r="B32" s="494" t="s">
        <v>194</v>
      </c>
      <c r="C32" s="421" t="s">
        <v>20</v>
      </c>
      <c r="D32" s="474">
        <v>884</v>
      </c>
      <c r="E32" s="474">
        <v>855</v>
      </c>
      <c r="F32" s="476">
        <v>855</v>
      </c>
      <c r="G32" s="475">
        <v>855</v>
      </c>
      <c r="H32" s="443">
        <f t="shared" si="0"/>
        <v>96.719457013574669</v>
      </c>
      <c r="I32" s="443">
        <f t="shared" si="1"/>
        <v>99.999999999999986</v>
      </c>
      <c r="J32" s="598" t="s">
        <v>751</v>
      </c>
      <c r="K32" s="476">
        <v>855</v>
      </c>
      <c r="L32" s="443">
        <f t="shared" si="2"/>
        <v>99.999999999999986</v>
      </c>
      <c r="M32" s="477"/>
      <c r="N32" s="486"/>
    </row>
    <row r="33" spans="1:14" ht="17.25" customHeight="1">
      <c r="A33" s="483" t="s">
        <v>65</v>
      </c>
      <c r="B33" s="495" t="s">
        <v>11</v>
      </c>
      <c r="C33" s="466" t="s">
        <v>6</v>
      </c>
      <c r="D33" s="488">
        <v>47.2</v>
      </c>
      <c r="E33" s="488">
        <v>49.9</v>
      </c>
      <c r="F33" s="490">
        <v>49.9</v>
      </c>
      <c r="G33" s="489">
        <v>49.9</v>
      </c>
      <c r="H33" s="443">
        <f t="shared" si="0"/>
        <v>105.72033898305084</v>
      </c>
      <c r="I33" s="443">
        <f t="shared" si="1"/>
        <v>100</v>
      </c>
      <c r="J33" s="598"/>
      <c r="K33" s="490">
        <v>49.9</v>
      </c>
      <c r="L33" s="443">
        <f t="shared" si="2"/>
        <v>100</v>
      </c>
      <c r="M33" s="471"/>
    </row>
    <row r="34" spans="1:14" ht="17.25" customHeight="1">
      <c r="A34" s="483" t="s">
        <v>65</v>
      </c>
      <c r="B34" s="495" t="s">
        <v>12</v>
      </c>
      <c r="C34" s="466" t="s">
        <v>47</v>
      </c>
      <c r="D34" s="468">
        <f t="shared" ref="D34:E34" si="25">D32*D33/10</f>
        <v>4172.4800000000005</v>
      </c>
      <c r="E34" s="468">
        <f t="shared" si="25"/>
        <v>4266.45</v>
      </c>
      <c r="F34" s="470">
        <f t="shared" ref="F34:G34" si="26">F32*F33/10</f>
        <v>4266.45</v>
      </c>
      <c r="G34" s="469">
        <f t="shared" si="26"/>
        <v>4266.45</v>
      </c>
      <c r="H34" s="443">
        <f t="shared" si="0"/>
        <v>102.25213781731728</v>
      </c>
      <c r="I34" s="443">
        <f t="shared" si="1"/>
        <v>100</v>
      </c>
      <c r="J34" s="598"/>
      <c r="K34" s="470">
        <f>K32*K33/10</f>
        <v>4266.45</v>
      </c>
      <c r="L34" s="443">
        <f t="shared" si="2"/>
        <v>100</v>
      </c>
      <c r="M34" s="471"/>
    </row>
    <row r="35" spans="1:14" s="480" customFormat="1" ht="17.25" customHeight="1">
      <c r="A35" s="483" t="s">
        <v>65</v>
      </c>
      <c r="B35" s="494" t="s">
        <v>780</v>
      </c>
      <c r="C35" s="421" t="s">
        <v>20</v>
      </c>
      <c r="D35" s="474">
        <v>47</v>
      </c>
      <c r="E35" s="474">
        <v>40</v>
      </c>
      <c r="F35" s="476">
        <v>40</v>
      </c>
      <c r="G35" s="475">
        <v>40</v>
      </c>
      <c r="H35" s="443">
        <f t="shared" si="0"/>
        <v>85.106382978723403</v>
      </c>
      <c r="I35" s="443">
        <f t="shared" si="1"/>
        <v>100</v>
      </c>
      <c r="J35" s="598" t="s">
        <v>751</v>
      </c>
      <c r="K35" s="476">
        <v>30</v>
      </c>
      <c r="L35" s="443">
        <f t="shared" si="2"/>
        <v>75</v>
      </c>
      <c r="M35" s="477"/>
      <c r="N35" s="486"/>
    </row>
    <row r="36" spans="1:14" ht="17.25" customHeight="1">
      <c r="A36" s="483" t="s">
        <v>65</v>
      </c>
      <c r="B36" s="495" t="s">
        <v>11</v>
      </c>
      <c r="C36" s="466" t="s">
        <v>6</v>
      </c>
      <c r="D36" s="488">
        <v>12</v>
      </c>
      <c r="E36" s="488">
        <v>15</v>
      </c>
      <c r="F36" s="490">
        <v>15</v>
      </c>
      <c r="G36" s="489">
        <v>15</v>
      </c>
      <c r="H36" s="443">
        <f t="shared" si="0"/>
        <v>125</v>
      </c>
      <c r="I36" s="443">
        <f t="shared" si="1"/>
        <v>100</v>
      </c>
      <c r="J36" s="598"/>
      <c r="K36" s="490">
        <v>15.6</v>
      </c>
      <c r="L36" s="443">
        <f t="shared" si="2"/>
        <v>104</v>
      </c>
      <c r="M36" s="471"/>
    </row>
    <row r="37" spans="1:14" ht="17.25" customHeight="1">
      <c r="A37" s="483" t="s">
        <v>65</v>
      </c>
      <c r="B37" s="495" t="s">
        <v>12</v>
      </c>
      <c r="C37" s="466" t="s">
        <v>47</v>
      </c>
      <c r="D37" s="468">
        <f t="shared" ref="D37:E37" si="27">D36*D35/10</f>
        <v>56.4</v>
      </c>
      <c r="E37" s="468">
        <f t="shared" si="27"/>
        <v>60</v>
      </c>
      <c r="F37" s="470">
        <f t="shared" ref="F37:G37" si="28">F36*F35/10</f>
        <v>60</v>
      </c>
      <c r="G37" s="469">
        <f t="shared" si="28"/>
        <v>60</v>
      </c>
      <c r="H37" s="443">
        <f t="shared" si="0"/>
        <v>106.38297872340426</v>
      </c>
      <c r="I37" s="443">
        <f t="shared" si="1"/>
        <v>100</v>
      </c>
      <c r="J37" s="598"/>
      <c r="K37" s="470">
        <v>62</v>
      </c>
      <c r="L37" s="443">
        <f t="shared" si="2"/>
        <v>103.33333333333334</v>
      </c>
      <c r="M37" s="471"/>
    </row>
    <row r="38" spans="1:14" s="480" customFormat="1" ht="17.25" customHeight="1">
      <c r="A38" s="421" t="s">
        <v>18</v>
      </c>
      <c r="B38" s="485" t="s">
        <v>195</v>
      </c>
      <c r="C38" s="421" t="s">
        <v>20</v>
      </c>
      <c r="D38" s="474">
        <f t="shared" ref="D38" si="29">D41+D44</f>
        <v>135</v>
      </c>
      <c r="E38" s="474">
        <f>E41+E44</f>
        <v>170</v>
      </c>
      <c r="F38" s="476">
        <f t="shared" ref="F38:G38" si="30">F41+F44</f>
        <v>174</v>
      </c>
      <c r="G38" s="475">
        <f t="shared" si="30"/>
        <v>174</v>
      </c>
      <c r="H38" s="443">
        <f t="shared" si="0"/>
        <v>128.88888888888889</v>
      </c>
      <c r="I38" s="443">
        <f t="shared" si="1"/>
        <v>102.35294117647059</v>
      </c>
      <c r="J38" s="598" t="s">
        <v>751</v>
      </c>
      <c r="K38" s="476">
        <f>K41+K44</f>
        <v>170</v>
      </c>
      <c r="L38" s="443">
        <f t="shared" si="2"/>
        <v>97.701149425287355</v>
      </c>
      <c r="M38" s="477"/>
      <c r="N38" s="486"/>
    </row>
    <row r="39" spans="1:14" ht="17.25" customHeight="1">
      <c r="A39" s="483" t="s">
        <v>65</v>
      </c>
      <c r="B39" s="487" t="s">
        <v>11</v>
      </c>
      <c r="C39" s="466" t="s">
        <v>6</v>
      </c>
      <c r="D39" s="488">
        <f t="shared" ref="D39:E39" si="31">D40/D38*10</f>
        <v>53.527111111111111</v>
      </c>
      <c r="E39" s="488">
        <f t="shared" si="31"/>
        <v>53.611764705882351</v>
      </c>
      <c r="F39" s="490">
        <f t="shared" ref="F39:G39" si="32">F40/F38*10</f>
        <v>53.659770114942532</v>
      </c>
      <c r="G39" s="489">
        <f t="shared" si="32"/>
        <v>53.659770114942532</v>
      </c>
      <c r="H39" s="443">
        <f t="shared" si="0"/>
        <v>100.24783516441985</v>
      </c>
      <c r="I39" s="443">
        <f t="shared" si="1"/>
        <v>100.08954267654413</v>
      </c>
      <c r="J39" s="598"/>
      <c r="K39" s="490">
        <f>K40/K38*10</f>
        <v>53.808823529411768</v>
      </c>
      <c r="L39" s="443">
        <f t="shared" si="2"/>
        <v>100.27777497769736</v>
      </c>
      <c r="M39" s="471"/>
    </row>
    <row r="40" spans="1:14" ht="17.25" customHeight="1">
      <c r="A40" s="483" t="s">
        <v>65</v>
      </c>
      <c r="B40" s="487" t="s">
        <v>12</v>
      </c>
      <c r="C40" s="466" t="s">
        <v>47</v>
      </c>
      <c r="D40" s="468">
        <f t="shared" ref="D40:E40" si="33">D43+D46</f>
        <v>722.61599999999999</v>
      </c>
      <c r="E40" s="468">
        <f t="shared" si="33"/>
        <v>911.4</v>
      </c>
      <c r="F40" s="470">
        <f t="shared" ref="F40:G40" si="34">F43+F46</f>
        <v>933.68000000000006</v>
      </c>
      <c r="G40" s="469">
        <f t="shared" si="34"/>
        <v>933.68000000000006</v>
      </c>
      <c r="H40" s="443">
        <f t="shared" si="0"/>
        <v>129.2083208785856</v>
      </c>
      <c r="I40" s="443">
        <f t="shared" si="1"/>
        <v>102.44459073952163</v>
      </c>
      <c r="J40" s="598"/>
      <c r="K40" s="470">
        <f>K43+K46</f>
        <v>914.75</v>
      </c>
      <c r="L40" s="443">
        <f t="shared" si="2"/>
        <v>97.972538771313509</v>
      </c>
      <c r="M40" s="471"/>
    </row>
    <row r="41" spans="1:14" s="480" customFormat="1" ht="17.25" customHeight="1">
      <c r="A41" s="421" t="s">
        <v>185</v>
      </c>
      <c r="B41" s="496" t="s">
        <v>723</v>
      </c>
      <c r="C41" s="421" t="s">
        <v>20</v>
      </c>
      <c r="D41" s="474">
        <v>38</v>
      </c>
      <c r="E41" s="474">
        <v>70</v>
      </c>
      <c r="F41" s="476">
        <v>74</v>
      </c>
      <c r="G41" s="475">
        <v>74</v>
      </c>
      <c r="H41" s="443">
        <f t="shared" si="0"/>
        <v>194.73684210526315</v>
      </c>
      <c r="I41" s="443">
        <f t="shared" si="1"/>
        <v>105.71428571428572</v>
      </c>
      <c r="J41" s="598" t="s">
        <v>751</v>
      </c>
      <c r="K41" s="476">
        <v>55</v>
      </c>
      <c r="L41" s="443">
        <f t="shared" si="2"/>
        <v>74.324324324324323</v>
      </c>
      <c r="M41" s="477"/>
      <c r="N41" s="486"/>
    </row>
    <row r="42" spans="1:14" ht="17.25" customHeight="1">
      <c r="A42" s="483" t="s">
        <v>65</v>
      </c>
      <c r="B42" s="492" t="s">
        <v>11</v>
      </c>
      <c r="C42" s="466" t="s">
        <v>6</v>
      </c>
      <c r="D42" s="488">
        <v>52.32</v>
      </c>
      <c r="E42" s="488">
        <v>53.2</v>
      </c>
      <c r="F42" s="490">
        <v>53.2</v>
      </c>
      <c r="G42" s="489">
        <v>53.2</v>
      </c>
      <c r="H42" s="443">
        <f t="shared" si="0"/>
        <v>101.68195718654435</v>
      </c>
      <c r="I42" s="443">
        <f t="shared" si="1"/>
        <v>100</v>
      </c>
      <c r="J42" s="598"/>
      <c r="K42" s="490">
        <v>53.2</v>
      </c>
      <c r="L42" s="443">
        <f t="shared" si="2"/>
        <v>100</v>
      </c>
      <c r="M42" s="471"/>
    </row>
    <row r="43" spans="1:14" ht="17.25" customHeight="1">
      <c r="A43" s="483" t="s">
        <v>65</v>
      </c>
      <c r="B43" s="493" t="s">
        <v>12</v>
      </c>
      <c r="C43" s="466" t="s">
        <v>47</v>
      </c>
      <c r="D43" s="468">
        <f t="shared" ref="D43:E43" si="35">D42*D41/10</f>
        <v>198.816</v>
      </c>
      <c r="E43" s="468">
        <f t="shared" si="35"/>
        <v>372.4</v>
      </c>
      <c r="F43" s="470">
        <f t="shared" ref="F43:G43" si="36">F42*F41/10</f>
        <v>393.68</v>
      </c>
      <c r="G43" s="469">
        <f t="shared" si="36"/>
        <v>393.68</v>
      </c>
      <c r="H43" s="443">
        <f t="shared" si="0"/>
        <v>198.01223241590216</v>
      </c>
      <c r="I43" s="443">
        <f t="shared" si="1"/>
        <v>105.71428571428572</v>
      </c>
      <c r="J43" s="598"/>
      <c r="K43" s="470">
        <f>K42*K41/10</f>
        <v>292.60000000000002</v>
      </c>
      <c r="L43" s="443">
        <f t="shared" si="2"/>
        <v>74.324324324324337</v>
      </c>
      <c r="M43" s="471"/>
    </row>
    <row r="44" spans="1:14" s="480" customFormat="1" ht="17.25" customHeight="1">
      <c r="A44" s="421" t="s">
        <v>186</v>
      </c>
      <c r="B44" s="485" t="s">
        <v>724</v>
      </c>
      <c r="C44" s="421" t="s">
        <v>20</v>
      </c>
      <c r="D44" s="474">
        <v>97</v>
      </c>
      <c r="E44" s="474">
        <v>100</v>
      </c>
      <c r="F44" s="476">
        <v>100</v>
      </c>
      <c r="G44" s="475">
        <v>100</v>
      </c>
      <c r="H44" s="443">
        <f t="shared" si="0"/>
        <v>103.09278350515464</v>
      </c>
      <c r="I44" s="443">
        <f t="shared" si="1"/>
        <v>100</v>
      </c>
      <c r="J44" s="598" t="s">
        <v>751</v>
      </c>
      <c r="K44" s="476">
        <v>115</v>
      </c>
      <c r="L44" s="443">
        <f t="shared" si="2"/>
        <v>115</v>
      </c>
      <c r="M44" s="477"/>
      <c r="N44" s="486"/>
    </row>
    <row r="45" spans="1:14" ht="17.25" customHeight="1">
      <c r="A45" s="483" t="s">
        <v>65</v>
      </c>
      <c r="B45" s="492" t="s">
        <v>11</v>
      </c>
      <c r="C45" s="466" t="s">
        <v>6</v>
      </c>
      <c r="D45" s="488">
        <v>54</v>
      </c>
      <c r="E45" s="488">
        <v>53.9</v>
      </c>
      <c r="F45" s="490">
        <v>54</v>
      </c>
      <c r="G45" s="489">
        <v>54</v>
      </c>
      <c r="H45" s="443">
        <f t="shared" si="0"/>
        <v>100</v>
      </c>
      <c r="I45" s="443">
        <f t="shared" si="1"/>
        <v>100.18552875695732</v>
      </c>
      <c r="J45" s="598"/>
      <c r="K45" s="490">
        <v>54.1</v>
      </c>
      <c r="L45" s="443">
        <f t="shared" si="2"/>
        <v>100.18518518518518</v>
      </c>
      <c r="M45" s="471"/>
    </row>
    <row r="46" spans="1:14" ht="17.25" customHeight="1">
      <c r="A46" s="483" t="s">
        <v>65</v>
      </c>
      <c r="B46" s="493" t="s">
        <v>12</v>
      </c>
      <c r="C46" s="466" t="s">
        <v>47</v>
      </c>
      <c r="D46" s="468">
        <f t="shared" ref="D46:E46" si="37">D45*D44/10</f>
        <v>523.79999999999995</v>
      </c>
      <c r="E46" s="468">
        <f t="shared" si="37"/>
        <v>539</v>
      </c>
      <c r="F46" s="470">
        <f t="shared" ref="F46:G46" si="38">F45*F44/10</f>
        <v>540</v>
      </c>
      <c r="G46" s="469">
        <f t="shared" si="38"/>
        <v>540</v>
      </c>
      <c r="H46" s="443">
        <f t="shared" si="0"/>
        <v>103.09278350515464</v>
      </c>
      <c r="I46" s="443">
        <f t="shared" si="1"/>
        <v>100.18552875695734</v>
      </c>
      <c r="J46" s="598"/>
      <c r="K46" s="470">
        <f>K45*K44/10</f>
        <v>622.15</v>
      </c>
      <c r="L46" s="443">
        <f t="shared" si="2"/>
        <v>115.21296296296295</v>
      </c>
      <c r="M46" s="471"/>
    </row>
    <row r="47" spans="1:14" s="480" customFormat="1" ht="19.5" customHeight="1">
      <c r="A47" s="421">
        <v>2</v>
      </c>
      <c r="B47" s="462" t="s">
        <v>13</v>
      </c>
      <c r="C47" s="421" t="s">
        <v>20</v>
      </c>
      <c r="D47" s="474">
        <v>5000</v>
      </c>
      <c r="E47" s="474">
        <v>5000</v>
      </c>
      <c r="F47" s="476">
        <v>5000</v>
      </c>
      <c r="G47" s="475">
        <v>5000</v>
      </c>
      <c r="H47" s="443">
        <f t="shared" si="0"/>
        <v>100</v>
      </c>
      <c r="I47" s="443">
        <f t="shared" si="1"/>
        <v>100</v>
      </c>
      <c r="J47" s="598" t="s">
        <v>751</v>
      </c>
      <c r="K47" s="476">
        <v>5000</v>
      </c>
      <c r="L47" s="443">
        <f t="shared" si="2"/>
        <v>100</v>
      </c>
      <c r="M47" s="477"/>
      <c r="N47" s="486"/>
    </row>
    <row r="48" spans="1:14" ht="19.5" customHeight="1">
      <c r="A48" s="483" t="s">
        <v>65</v>
      </c>
      <c r="B48" s="487" t="s">
        <v>11</v>
      </c>
      <c r="C48" s="466" t="s">
        <v>6</v>
      </c>
      <c r="D48" s="488">
        <v>152</v>
      </c>
      <c r="E48" s="488">
        <v>156</v>
      </c>
      <c r="F48" s="490">
        <v>156</v>
      </c>
      <c r="G48" s="489">
        <v>156</v>
      </c>
      <c r="H48" s="443">
        <f t="shared" si="0"/>
        <v>102.63157894736842</v>
      </c>
      <c r="I48" s="443">
        <f t="shared" si="1"/>
        <v>100</v>
      </c>
      <c r="J48" s="598"/>
      <c r="K48" s="490">
        <v>173.4</v>
      </c>
      <c r="L48" s="443">
        <f t="shared" si="2"/>
        <v>111.15384615384616</v>
      </c>
      <c r="M48" s="471"/>
    </row>
    <row r="49" spans="1:15" ht="19.5" customHeight="1">
      <c r="A49" s="483" t="s">
        <v>65</v>
      </c>
      <c r="B49" s="487" t="s">
        <v>12</v>
      </c>
      <c r="C49" s="466" t="s">
        <v>47</v>
      </c>
      <c r="D49" s="468">
        <f t="shared" ref="D49:E49" si="39">D48*D47/10</f>
        <v>76000</v>
      </c>
      <c r="E49" s="468">
        <f t="shared" si="39"/>
        <v>78000</v>
      </c>
      <c r="F49" s="470">
        <f t="shared" ref="F49:G49" si="40">F48*F47/10</f>
        <v>78000</v>
      </c>
      <c r="G49" s="469">
        <f t="shared" si="40"/>
        <v>78000</v>
      </c>
      <c r="H49" s="443">
        <f t="shared" si="0"/>
        <v>102.63157894736842</v>
      </c>
      <c r="I49" s="443">
        <f t="shared" si="1"/>
        <v>100</v>
      </c>
      <c r="J49" s="598"/>
      <c r="K49" s="470">
        <f>K48*K47/10</f>
        <v>86700</v>
      </c>
      <c r="L49" s="443">
        <f t="shared" si="2"/>
        <v>111.15384615384616</v>
      </c>
      <c r="M49" s="471"/>
    </row>
    <row r="50" spans="1:15" s="480" customFormat="1" ht="19.5" customHeight="1">
      <c r="A50" s="421">
        <v>3</v>
      </c>
      <c r="B50" s="462" t="s">
        <v>728</v>
      </c>
      <c r="C50" s="421" t="s">
        <v>20</v>
      </c>
      <c r="D50" s="474">
        <v>29</v>
      </c>
      <c r="E50" s="474">
        <v>77</v>
      </c>
      <c r="F50" s="614">
        <v>49.4</v>
      </c>
      <c r="G50" s="615">
        <v>49.4</v>
      </c>
      <c r="H50" s="443">
        <f t="shared" si="0"/>
        <v>170.34482758620689</v>
      </c>
      <c r="I50" s="443">
        <f t="shared" si="1"/>
        <v>64.15584415584415</v>
      </c>
      <c r="J50" s="598" t="s">
        <v>753</v>
      </c>
      <c r="K50" s="497">
        <v>155</v>
      </c>
      <c r="L50" s="443">
        <f t="shared" si="2"/>
        <v>313.76518218623482</v>
      </c>
      <c r="M50" s="477"/>
      <c r="N50" s="486"/>
    </row>
    <row r="51" spans="1:15" ht="19.5" customHeight="1">
      <c r="A51" s="483" t="s">
        <v>65</v>
      </c>
      <c r="B51" s="467" t="s">
        <v>726</v>
      </c>
      <c r="C51" s="466" t="s">
        <v>20</v>
      </c>
      <c r="D51" s="468"/>
      <c r="E51" s="468">
        <v>48</v>
      </c>
      <c r="F51" s="470">
        <v>20</v>
      </c>
      <c r="G51" s="469">
        <v>20</v>
      </c>
      <c r="H51" s="426"/>
      <c r="I51" s="443">
        <f t="shared" si="1"/>
        <v>41.666666666666671</v>
      </c>
      <c r="J51" s="597"/>
      <c r="K51" s="490">
        <v>102</v>
      </c>
      <c r="L51" s="443">
        <f t="shared" si="2"/>
        <v>510</v>
      </c>
      <c r="M51" s="471"/>
    </row>
    <row r="52" spans="1:15" ht="19.5" customHeight="1">
      <c r="A52" s="483" t="s">
        <v>65</v>
      </c>
      <c r="B52" s="487" t="s">
        <v>11</v>
      </c>
      <c r="C52" s="466" t="s">
        <v>6</v>
      </c>
      <c r="D52" s="488">
        <v>751</v>
      </c>
      <c r="E52" s="488">
        <v>744.2</v>
      </c>
      <c r="F52" s="490">
        <v>744.2</v>
      </c>
      <c r="G52" s="489">
        <v>744.2</v>
      </c>
      <c r="H52" s="443">
        <f t="shared" si="0"/>
        <v>99.094540612516653</v>
      </c>
      <c r="I52" s="443">
        <f t="shared" si="1"/>
        <v>100</v>
      </c>
      <c r="J52" s="598"/>
      <c r="K52" s="490">
        <v>689.5</v>
      </c>
      <c r="L52" s="443">
        <f t="shared" si="2"/>
        <v>92.649825315775331</v>
      </c>
      <c r="M52" s="471"/>
    </row>
    <row r="53" spans="1:15" ht="19.5" customHeight="1">
      <c r="A53" s="483" t="s">
        <v>65</v>
      </c>
      <c r="B53" s="487" t="s">
        <v>12</v>
      </c>
      <c r="C53" s="466" t="s">
        <v>47</v>
      </c>
      <c r="D53" s="468">
        <f t="shared" ref="D53:G53" si="41">D52*D50/10</f>
        <v>2177.9</v>
      </c>
      <c r="E53" s="468">
        <f t="shared" si="41"/>
        <v>5730.34</v>
      </c>
      <c r="F53" s="470">
        <f t="shared" ref="F53" si="42">F52*F50/10</f>
        <v>3676.3480000000004</v>
      </c>
      <c r="G53" s="469">
        <f t="shared" si="41"/>
        <v>3676.3480000000004</v>
      </c>
      <c r="H53" s="443">
        <f t="shared" si="0"/>
        <v>168.80242435373526</v>
      </c>
      <c r="I53" s="443">
        <f t="shared" si="1"/>
        <v>64.155844155844164</v>
      </c>
      <c r="J53" s="598"/>
      <c r="K53" s="470">
        <f>K52*K50/10</f>
        <v>10687.25</v>
      </c>
      <c r="L53" s="443">
        <f t="shared" si="2"/>
        <v>290.70289319727078</v>
      </c>
      <c r="M53" s="471"/>
    </row>
    <row r="54" spans="1:15" s="480" customFormat="1" ht="19.5" customHeight="1">
      <c r="A54" s="421">
        <v>4</v>
      </c>
      <c r="B54" s="462" t="s">
        <v>705</v>
      </c>
      <c r="C54" s="421" t="s">
        <v>20</v>
      </c>
      <c r="D54" s="474">
        <f t="shared" ref="D54" si="43">D55+D56</f>
        <v>332.5</v>
      </c>
      <c r="E54" s="474">
        <f t="shared" ref="E54:G54" si="44">E55+E56</f>
        <v>320</v>
      </c>
      <c r="F54" s="476">
        <f t="shared" ref="F54" si="45">F55+F56</f>
        <v>320</v>
      </c>
      <c r="G54" s="475">
        <f t="shared" si="44"/>
        <v>320</v>
      </c>
      <c r="H54" s="443">
        <f t="shared" si="0"/>
        <v>96.240601503759393</v>
      </c>
      <c r="I54" s="443">
        <f t="shared" si="1"/>
        <v>100</v>
      </c>
      <c r="J54" s="598" t="s">
        <v>751</v>
      </c>
      <c r="K54" s="474">
        <f>K55+K56</f>
        <v>322</v>
      </c>
      <c r="L54" s="443">
        <f t="shared" si="2"/>
        <v>100.625</v>
      </c>
      <c r="M54" s="477"/>
      <c r="N54" s="486"/>
    </row>
    <row r="55" spans="1:15" ht="19.5" customHeight="1">
      <c r="A55" s="498" t="s">
        <v>65</v>
      </c>
      <c r="B55" s="487" t="s">
        <v>719</v>
      </c>
      <c r="C55" s="466" t="s">
        <v>20</v>
      </c>
      <c r="D55" s="488">
        <v>300.5</v>
      </c>
      <c r="E55" s="488">
        <v>290</v>
      </c>
      <c r="F55" s="490">
        <v>290</v>
      </c>
      <c r="G55" s="489">
        <v>290</v>
      </c>
      <c r="H55" s="443">
        <f t="shared" si="0"/>
        <v>96.505823627287853</v>
      </c>
      <c r="I55" s="443">
        <f t="shared" si="1"/>
        <v>100</v>
      </c>
      <c r="J55" s="598"/>
      <c r="K55" s="490">
        <v>292</v>
      </c>
      <c r="L55" s="443">
        <f t="shared" si="2"/>
        <v>100.68965517241379</v>
      </c>
      <c r="M55" s="471"/>
      <c r="N55" s="499"/>
      <c r="O55" s="465"/>
    </row>
    <row r="56" spans="1:15" ht="19.5" customHeight="1">
      <c r="A56" s="498" t="s">
        <v>65</v>
      </c>
      <c r="B56" s="487" t="s">
        <v>720</v>
      </c>
      <c r="C56" s="466" t="s">
        <v>20</v>
      </c>
      <c r="D56" s="468">
        <v>32</v>
      </c>
      <c r="E56" s="468">
        <v>30</v>
      </c>
      <c r="F56" s="501">
        <v>30</v>
      </c>
      <c r="G56" s="500">
        <v>30</v>
      </c>
      <c r="H56" s="443">
        <f t="shared" si="0"/>
        <v>93.75</v>
      </c>
      <c r="I56" s="443">
        <f t="shared" si="1"/>
        <v>100</v>
      </c>
      <c r="J56" s="598"/>
      <c r="K56" s="501">
        <v>30</v>
      </c>
      <c r="L56" s="443">
        <f t="shared" si="2"/>
        <v>100</v>
      </c>
      <c r="M56" s="471"/>
      <c r="N56" s="499"/>
      <c r="O56" s="502"/>
    </row>
    <row r="57" spans="1:15" s="480" customFormat="1" ht="17.399999999999999" customHeight="1">
      <c r="A57" s="463" t="s">
        <v>22</v>
      </c>
      <c r="B57" s="462" t="s">
        <v>52</v>
      </c>
      <c r="C57" s="421" t="s">
        <v>20</v>
      </c>
      <c r="D57" s="474">
        <f>D58+D82</f>
        <v>12170</v>
      </c>
      <c r="E57" s="474">
        <f t="shared" ref="E57:L57" si="46">E58+E82</f>
        <v>12564</v>
      </c>
      <c r="F57" s="474">
        <f t="shared" si="46"/>
        <v>12952</v>
      </c>
      <c r="G57" s="474">
        <f t="shared" si="46"/>
        <v>12952</v>
      </c>
      <c r="H57" s="443">
        <f t="shared" si="0"/>
        <v>106.42563681183238</v>
      </c>
      <c r="I57" s="443">
        <f t="shared" si="1"/>
        <v>103.08818847500795</v>
      </c>
      <c r="J57" s="474"/>
      <c r="K57" s="474">
        <f t="shared" si="46"/>
        <v>13727</v>
      </c>
      <c r="L57" s="474">
        <f t="shared" si="46"/>
        <v>469.3379934210526</v>
      </c>
      <c r="M57" s="477"/>
      <c r="N57" s="503"/>
      <c r="O57" s="504" t="e">
        <f>G57/N57%</f>
        <v>#DIV/0!</v>
      </c>
    </row>
    <row r="58" spans="1:15" s="480" customFormat="1" ht="18.600000000000001" customHeight="1">
      <c r="A58" s="463">
        <v>1</v>
      </c>
      <c r="B58" s="505" t="s">
        <v>758</v>
      </c>
      <c r="C58" s="421" t="s">
        <v>20</v>
      </c>
      <c r="D58" s="474">
        <f>D59+D65+D70+D79</f>
        <v>12020</v>
      </c>
      <c r="E58" s="474">
        <f>E59+E65+E70+E79</f>
        <v>12414</v>
      </c>
      <c r="F58" s="474">
        <f>F59+F65+F70+F79</f>
        <v>12800</v>
      </c>
      <c r="G58" s="474">
        <f>G59+G65+G70+G79</f>
        <v>12800</v>
      </c>
      <c r="H58" s="443">
        <f t="shared" si="0"/>
        <v>106.48918469217969</v>
      </c>
      <c r="I58" s="443">
        <f t="shared" si="1"/>
        <v>103.10939262123409</v>
      </c>
      <c r="J58" s="474"/>
      <c r="K58" s="474">
        <f>K59+K65+K70+K79</f>
        <v>13170</v>
      </c>
      <c r="L58" s="443">
        <f t="shared" si="2"/>
        <v>102.890625</v>
      </c>
      <c r="M58" s="477"/>
      <c r="N58" s="503"/>
      <c r="O58" s="504"/>
    </row>
    <row r="59" spans="1:15" s="480" customFormat="1" ht="21" customHeight="1">
      <c r="A59" s="461" t="s">
        <v>641</v>
      </c>
      <c r="B59" s="462" t="s">
        <v>196</v>
      </c>
      <c r="C59" s="421" t="s">
        <v>20</v>
      </c>
      <c r="D59" s="474">
        <v>2777</v>
      </c>
      <c r="E59" s="474">
        <v>2768</v>
      </c>
      <c r="F59" s="476">
        <v>2862</v>
      </c>
      <c r="G59" s="475">
        <v>2862</v>
      </c>
      <c r="H59" s="443">
        <f t="shared" si="0"/>
        <v>103.0608570399712</v>
      </c>
      <c r="I59" s="443">
        <f t="shared" si="1"/>
        <v>103.39595375722543</v>
      </c>
      <c r="J59" s="598" t="s">
        <v>751</v>
      </c>
      <c r="K59" s="476">
        <v>2862</v>
      </c>
      <c r="L59" s="443">
        <f t="shared" si="2"/>
        <v>100</v>
      </c>
      <c r="M59" s="477"/>
      <c r="N59" s="506"/>
    </row>
    <row r="60" spans="1:15" ht="17.25" customHeight="1">
      <c r="A60" s="483" t="s">
        <v>65</v>
      </c>
      <c r="B60" s="467" t="s">
        <v>53</v>
      </c>
      <c r="C60" s="466" t="s">
        <v>20</v>
      </c>
      <c r="D60" s="468">
        <v>66</v>
      </c>
      <c r="E60" s="468"/>
      <c r="F60" s="470">
        <v>97</v>
      </c>
      <c r="G60" s="469">
        <v>97</v>
      </c>
      <c r="H60" s="443">
        <f t="shared" si="0"/>
        <v>146.96969696969697</v>
      </c>
      <c r="I60" s="443"/>
      <c r="J60" s="598"/>
      <c r="K60" s="507">
        <v>0</v>
      </c>
      <c r="L60" s="426">
        <f t="shared" si="2"/>
        <v>0</v>
      </c>
      <c r="M60" s="471"/>
    </row>
    <row r="61" spans="1:15" ht="17.25" customHeight="1">
      <c r="A61" s="483"/>
      <c r="B61" s="467" t="s">
        <v>761</v>
      </c>
      <c r="C61" s="466" t="s">
        <v>20</v>
      </c>
      <c r="D61" s="468"/>
      <c r="E61" s="468">
        <v>0</v>
      </c>
      <c r="F61" s="470"/>
      <c r="G61" s="469"/>
      <c r="H61" s="426"/>
      <c r="I61" s="443"/>
      <c r="J61" s="598"/>
      <c r="K61" s="470"/>
      <c r="L61" s="426"/>
      <c r="M61" s="471"/>
    </row>
    <row r="62" spans="1:15" ht="17.25" customHeight="1">
      <c r="A62" s="483"/>
      <c r="B62" s="467" t="s">
        <v>762</v>
      </c>
      <c r="C62" s="466" t="s">
        <v>20</v>
      </c>
      <c r="D62" s="468">
        <v>2027</v>
      </c>
      <c r="E62" s="468">
        <v>2350</v>
      </c>
      <c r="F62" s="470">
        <v>2350</v>
      </c>
      <c r="G62" s="469">
        <v>2350</v>
      </c>
      <c r="H62" s="443">
        <f t="shared" si="0"/>
        <v>115.93487913172176</v>
      </c>
      <c r="I62" s="443">
        <f t="shared" si="1"/>
        <v>100</v>
      </c>
      <c r="J62" s="598"/>
      <c r="K62" s="470">
        <v>1942</v>
      </c>
      <c r="L62" s="443">
        <f t="shared" si="2"/>
        <v>82.638297872340431</v>
      </c>
      <c r="M62" s="471"/>
      <c r="N62" s="508"/>
    </row>
    <row r="63" spans="1:15" ht="17.25" customHeight="1">
      <c r="A63" s="483" t="s">
        <v>65</v>
      </c>
      <c r="B63" s="467" t="s">
        <v>556</v>
      </c>
      <c r="C63" s="466" t="s">
        <v>6</v>
      </c>
      <c r="D63" s="488">
        <v>34.5</v>
      </c>
      <c r="E63" s="488">
        <v>34.799999999999997</v>
      </c>
      <c r="F63" s="490">
        <v>34.5</v>
      </c>
      <c r="G63" s="489">
        <v>34.5</v>
      </c>
      <c r="H63" s="443">
        <f t="shared" si="0"/>
        <v>100.00000000000001</v>
      </c>
      <c r="I63" s="443">
        <f t="shared" si="1"/>
        <v>99.137931034482762</v>
      </c>
      <c r="J63" s="598"/>
      <c r="K63" s="490">
        <v>34.9</v>
      </c>
      <c r="L63" s="443">
        <f t="shared" si="2"/>
        <v>101.15942028985508</v>
      </c>
      <c r="M63" s="471"/>
    </row>
    <row r="64" spans="1:15" ht="17.25" customHeight="1">
      <c r="A64" s="483" t="s">
        <v>65</v>
      </c>
      <c r="B64" s="467" t="s">
        <v>115</v>
      </c>
      <c r="C64" s="466" t="s">
        <v>47</v>
      </c>
      <c r="D64" s="468">
        <f t="shared" ref="D64:E64" si="47">D62*D63/10</f>
        <v>6993.15</v>
      </c>
      <c r="E64" s="468">
        <f t="shared" si="47"/>
        <v>8178</v>
      </c>
      <c r="F64" s="470">
        <f t="shared" ref="F64:G64" si="48">F62*F63/10</f>
        <v>8107.5</v>
      </c>
      <c r="G64" s="469">
        <f t="shared" si="48"/>
        <v>8107.5</v>
      </c>
      <c r="H64" s="443">
        <f t="shared" si="0"/>
        <v>115.93487913172176</v>
      </c>
      <c r="I64" s="443">
        <f t="shared" si="1"/>
        <v>99.137931034482762</v>
      </c>
      <c r="J64" s="598"/>
      <c r="K64" s="470">
        <f>K62*K63/10</f>
        <v>6777.58</v>
      </c>
      <c r="L64" s="443">
        <f t="shared" si="2"/>
        <v>83.596423065063206</v>
      </c>
      <c r="M64" s="471"/>
    </row>
    <row r="65" spans="1:14" s="480" customFormat="1" ht="17.25" customHeight="1">
      <c r="A65" s="461" t="s">
        <v>643</v>
      </c>
      <c r="B65" s="462" t="s">
        <v>197</v>
      </c>
      <c r="C65" s="421" t="s">
        <v>20</v>
      </c>
      <c r="D65" s="474">
        <v>7827</v>
      </c>
      <c r="E65" s="474">
        <v>7758</v>
      </c>
      <c r="F65" s="476">
        <v>8023</v>
      </c>
      <c r="G65" s="475">
        <v>8023</v>
      </c>
      <c r="H65" s="443">
        <f t="shared" si="0"/>
        <v>102.50415229334357</v>
      </c>
      <c r="I65" s="443">
        <f t="shared" si="1"/>
        <v>103.41582882186131</v>
      </c>
      <c r="J65" s="598" t="s">
        <v>751</v>
      </c>
      <c r="K65" s="476">
        <v>8023</v>
      </c>
      <c r="L65" s="443">
        <f t="shared" si="2"/>
        <v>100</v>
      </c>
      <c r="M65" s="477"/>
      <c r="N65" s="486"/>
    </row>
    <row r="66" spans="1:14" ht="17.25" customHeight="1">
      <c r="A66" s="483" t="s">
        <v>65</v>
      </c>
      <c r="B66" s="467" t="s">
        <v>53</v>
      </c>
      <c r="C66" s="466" t="s">
        <v>20</v>
      </c>
      <c r="D66" s="468">
        <v>177</v>
      </c>
      <c r="E66" s="468">
        <v>0</v>
      </c>
      <c r="F66" s="470">
        <v>265</v>
      </c>
      <c r="G66" s="469">
        <v>265</v>
      </c>
      <c r="H66" s="443">
        <f t="shared" si="0"/>
        <v>149.71751412429379</v>
      </c>
      <c r="I66" s="443"/>
      <c r="J66" s="598"/>
      <c r="K66" s="470">
        <v>0</v>
      </c>
      <c r="L66" s="426">
        <f t="shared" si="2"/>
        <v>0</v>
      </c>
      <c r="M66" s="471"/>
    </row>
    <row r="67" spans="1:14" ht="17.25" customHeight="1">
      <c r="A67" s="466"/>
      <c r="B67" s="467" t="s">
        <v>760</v>
      </c>
      <c r="C67" s="466" t="s">
        <v>20</v>
      </c>
      <c r="D67" s="468">
        <v>6550</v>
      </c>
      <c r="E67" s="468">
        <v>6850</v>
      </c>
      <c r="F67" s="470">
        <v>6850</v>
      </c>
      <c r="G67" s="469">
        <v>6850</v>
      </c>
      <c r="H67" s="443">
        <f t="shared" si="0"/>
        <v>104.58015267175573</v>
      </c>
      <c r="I67" s="443">
        <f t="shared" si="1"/>
        <v>100</v>
      </c>
      <c r="J67" s="598"/>
      <c r="K67" s="470">
        <v>6850</v>
      </c>
      <c r="L67" s="443">
        <f t="shared" si="2"/>
        <v>100</v>
      </c>
      <c r="M67" s="471"/>
    </row>
    <row r="68" spans="1:14" ht="17.25" customHeight="1">
      <c r="A68" s="483" t="s">
        <v>65</v>
      </c>
      <c r="B68" s="467" t="s">
        <v>56</v>
      </c>
      <c r="C68" s="466" t="s">
        <v>6</v>
      </c>
      <c r="D68" s="488">
        <v>12.5</v>
      </c>
      <c r="E68" s="488">
        <v>12.5</v>
      </c>
      <c r="F68" s="490">
        <v>12.5</v>
      </c>
      <c r="G68" s="489">
        <v>12.5</v>
      </c>
      <c r="H68" s="443">
        <f t="shared" si="0"/>
        <v>100</v>
      </c>
      <c r="I68" s="443">
        <f t="shared" si="1"/>
        <v>100</v>
      </c>
      <c r="J68" s="598"/>
      <c r="K68" s="490">
        <v>12.6</v>
      </c>
      <c r="L68" s="443">
        <f t="shared" si="2"/>
        <v>100.8</v>
      </c>
      <c r="M68" s="471"/>
    </row>
    <row r="69" spans="1:14" ht="17.25" customHeight="1">
      <c r="A69" s="483" t="s">
        <v>65</v>
      </c>
      <c r="B69" s="467" t="s">
        <v>225</v>
      </c>
      <c r="C69" s="466" t="s">
        <v>47</v>
      </c>
      <c r="D69" s="468">
        <f t="shared" ref="D69:E69" si="49">D67*D68/10</f>
        <v>8187.5</v>
      </c>
      <c r="E69" s="468">
        <f t="shared" si="49"/>
        <v>8562.5</v>
      </c>
      <c r="F69" s="470">
        <f t="shared" ref="F69:G69" si="50">F67*F68/10</f>
        <v>8562.5</v>
      </c>
      <c r="G69" s="469">
        <f t="shared" si="50"/>
        <v>8562.5</v>
      </c>
      <c r="H69" s="443">
        <f t="shared" si="0"/>
        <v>104.58015267175573</v>
      </c>
      <c r="I69" s="443">
        <f t="shared" si="1"/>
        <v>100</v>
      </c>
      <c r="J69" s="598"/>
      <c r="K69" s="470">
        <f>K67*K68/10</f>
        <v>8631</v>
      </c>
      <c r="L69" s="443">
        <f t="shared" si="2"/>
        <v>100.8</v>
      </c>
      <c r="M69" s="471"/>
    </row>
    <row r="70" spans="1:14" s="480" customFormat="1" ht="17.25" customHeight="1">
      <c r="A70" s="461" t="s">
        <v>645</v>
      </c>
      <c r="B70" s="462" t="s">
        <v>78</v>
      </c>
      <c r="C70" s="421" t="s">
        <v>20</v>
      </c>
      <c r="D70" s="474">
        <f>D71+D72</f>
        <v>825</v>
      </c>
      <c r="E70" s="474">
        <f t="shared" ref="E70:G70" si="51">E71+E72</f>
        <v>970</v>
      </c>
      <c r="F70" s="476">
        <f t="shared" ref="F70" si="52">F71+F72</f>
        <v>972</v>
      </c>
      <c r="G70" s="474">
        <f t="shared" si="51"/>
        <v>972</v>
      </c>
      <c r="H70" s="443">
        <f t="shared" si="0"/>
        <v>117.81818181818181</v>
      </c>
      <c r="I70" s="443">
        <f t="shared" si="1"/>
        <v>100.20618556701032</v>
      </c>
      <c r="J70" s="598" t="s">
        <v>751</v>
      </c>
      <c r="K70" s="434">
        <f>K71+K72</f>
        <v>1222</v>
      </c>
      <c r="L70" s="443">
        <f t="shared" si="2"/>
        <v>125.72016460905348</v>
      </c>
      <c r="M70" s="477"/>
      <c r="N70" s="486"/>
    </row>
    <row r="71" spans="1:14" ht="17.25" customHeight="1">
      <c r="A71" s="483" t="s">
        <v>65</v>
      </c>
      <c r="B71" s="467" t="s">
        <v>707</v>
      </c>
      <c r="C71" s="466" t="s">
        <v>20</v>
      </c>
      <c r="D71" s="468">
        <v>505</v>
      </c>
      <c r="E71" s="468">
        <v>820</v>
      </c>
      <c r="F71" s="470">
        <v>820</v>
      </c>
      <c r="G71" s="469">
        <v>820</v>
      </c>
      <c r="H71" s="443">
        <f t="shared" si="0"/>
        <v>162.37623762376239</v>
      </c>
      <c r="I71" s="443">
        <f t="shared" si="1"/>
        <v>100.00000000000001</v>
      </c>
      <c r="J71" s="598"/>
      <c r="K71" s="444">
        <v>972</v>
      </c>
      <c r="L71" s="443">
        <f t="shared" si="2"/>
        <v>118.53658536585367</v>
      </c>
      <c r="M71" s="471"/>
    </row>
    <row r="72" spans="1:14" ht="19.5" customHeight="1" outlineLevel="1">
      <c r="A72" s="483" t="s">
        <v>65</v>
      </c>
      <c r="B72" s="509" t="s">
        <v>722</v>
      </c>
      <c r="C72" s="510" t="s">
        <v>20</v>
      </c>
      <c r="D72" s="468">
        <v>320</v>
      </c>
      <c r="E72" s="468">
        <v>150</v>
      </c>
      <c r="F72" s="470">
        <v>152</v>
      </c>
      <c r="G72" s="469">
        <v>152</v>
      </c>
      <c r="H72" s="443">
        <f t="shared" si="0"/>
        <v>47.5</v>
      </c>
      <c r="I72" s="443">
        <f t="shared" si="1"/>
        <v>101.33333333333333</v>
      </c>
      <c r="J72" s="597"/>
      <c r="K72" s="444">
        <f>SUM(K73:K78)</f>
        <v>250</v>
      </c>
      <c r="L72" s="443">
        <f t="shared" si="2"/>
        <v>164.4736842105263</v>
      </c>
      <c r="M72" s="471"/>
    </row>
    <row r="73" spans="1:14" ht="19.5" customHeight="1" outlineLevel="1">
      <c r="A73" s="483" t="s">
        <v>308</v>
      </c>
      <c r="B73" s="619" t="s">
        <v>763</v>
      </c>
      <c r="C73" s="620" t="s">
        <v>20</v>
      </c>
      <c r="D73" s="468"/>
      <c r="E73" s="468"/>
      <c r="F73" s="470"/>
      <c r="G73" s="469"/>
      <c r="H73" s="443"/>
      <c r="I73" s="443"/>
      <c r="J73" s="597"/>
      <c r="K73" s="444">
        <v>60</v>
      </c>
      <c r="L73" s="443"/>
      <c r="M73" s="471"/>
    </row>
    <row r="74" spans="1:14" ht="19.5" customHeight="1" outlineLevel="1">
      <c r="A74" s="483" t="s">
        <v>308</v>
      </c>
      <c r="B74" s="619" t="s">
        <v>764</v>
      </c>
      <c r="C74" s="620" t="s">
        <v>20</v>
      </c>
      <c r="D74" s="468"/>
      <c r="E74" s="468"/>
      <c r="F74" s="470"/>
      <c r="G74" s="469"/>
      <c r="H74" s="443"/>
      <c r="I74" s="443"/>
      <c r="J74" s="597"/>
      <c r="K74" s="444">
        <v>20</v>
      </c>
      <c r="L74" s="443"/>
      <c r="M74" s="471"/>
    </row>
    <row r="75" spans="1:14" ht="19.5" customHeight="1" outlineLevel="1">
      <c r="A75" s="483" t="s">
        <v>308</v>
      </c>
      <c r="B75" s="619" t="s">
        <v>765</v>
      </c>
      <c r="C75" s="620" t="s">
        <v>20</v>
      </c>
      <c r="D75" s="468"/>
      <c r="E75" s="468"/>
      <c r="F75" s="470"/>
      <c r="G75" s="469"/>
      <c r="H75" s="443"/>
      <c r="I75" s="443"/>
      <c r="J75" s="597"/>
      <c r="K75" s="444"/>
      <c r="L75" s="443"/>
      <c r="M75" s="471"/>
    </row>
    <row r="76" spans="1:14" ht="19.5" customHeight="1" outlineLevel="1">
      <c r="A76" s="483" t="s">
        <v>308</v>
      </c>
      <c r="B76" s="619" t="s">
        <v>766</v>
      </c>
      <c r="C76" s="620" t="s">
        <v>20</v>
      </c>
      <c r="D76" s="468"/>
      <c r="E76" s="468"/>
      <c r="F76" s="470"/>
      <c r="G76" s="469"/>
      <c r="H76" s="443"/>
      <c r="I76" s="443"/>
      <c r="J76" s="597"/>
      <c r="K76" s="444">
        <v>10</v>
      </c>
      <c r="L76" s="443"/>
      <c r="M76" s="471"/>
    </row>
    <row r="77" spans="1:14" ht="19.5" customHeight="1" outlineLevel="1">
      <c r="A77" s="483" t="s">
        <v>308</v>
      </c>
      <c r="B77" s="619" t="s">
        <v>767</v>
      </c>
      <c r="C77" s="620" t="s">
        <v>20</v>
      </c>
      <c r="D77" s="468"/>
      <c r="E77" s="468"/>
      <c r="F77" s="470"/>
      <c r="G77" s="469"/>
      <c r="H77" s="443"/>
      <c r="I77" s="443"/>
      <c r="J77" s="597"/>
      <c r="K77" s="444">
        <v>140</v>
      </c>
      <c r="L77" s="443"/>
      <c r="M77" s="471"/>
    </row>
    <row r="78" spans="1:14" ht="19.5" customHeight="1" outlineLevel="1">
      <c r="A78" s="483" t="s">
        <v>308</v>
      </c>
      <c r="B78" s="619" t="s">
        <v>495</v>
      </c>
      <c r="C78" s="620" t="s">
        <v>20</v>
      </c>
      <c r="D78" s="468"/>
      <c r="E78" s="468"/>
      <c r="F78" s="470"/>
      <c r="G78" s="469"/>
      <c r="H78" s="443"/>
      <c r="I78" s="443"/>
      <c r="J78" s="597"/>
      <c r="K78" s="444">
        <v>20</v>
      </c>
      <c r="L78" s="443"/>
      <c r="M78" s="471"/>
    </row>
    <row r="79" spans="1:14" s="480" customFormat="1" ht="19.5" customHeight="1" outlineLevel="1">
      <c r="A79" s="461" t="s">
        <v>647</v>
      </c>
      <c r="B79" s="512" t="s">
        <v>706</v>
      </c>
      <c r="C79" s="511" t="s">
        <v>20</v>
      </c>
      <c r="D79" s="474">
        <f t="shared" ref="D79" si="53">D80+D81</f>
        <v>591</v>
      </c>
      <c r="E79" s="474">
        <f t="shared" ref="E79:G79" si="54">E80+E81</f>
        <v>918</v>
      </c>
      <c r="F79" s="476">
        <f t="shared" ref="F79" si="55">F80+F81</f>
        <v>943</v>
      </c>
      <c r="G79" s="475">
        <f t="shared" si="54"/>
        <v>943</v>
      </c>
      <c r="H79" s="443">
        <f t="shared" si="0"/>
        <v>159.56006768189508</v>
      </c>
      <c r="I79" s="443">
        <f t="shared" si="1"/>
        <v>102.72331154684096</v>
      </c>
      <c r="J79" s="598" t="s">
        <v>751</v>
      </c>
      <c r="K79" s="626">
        <f>K80+K81</f>
        <v>1063</v>
      </c>
      <c r="L79" s="443">
        <f t="shared" si="2"/>
        <v>112.72534464475081</v>
      </c>
      <c r="M79" s="477"/>
      <c r="N79" s="486"/>
    </row>
    <row r="80" spans="1:14" ht="19.5" customHeight="1" outlineLevel="1">
      <c r="A80" s="483" t="s">
        <v>65</v>
      </c>
      <c r="B80" s="513" t="s">
        <v>707</v>
      </c>
      <c r="C80" s="514" t="s">
        <v>20</v>
      </c>
      <c r="D80" s="468">
        <v>241</v>
      </c>
      <c r="E80" s="468">
        <v>557</v>
      </c>
      <c r="F80" s="470">
        <v>557</v>
      </c>
      <c r="G80" s="469">
        <v>557</v>
      </c>
      <c r="H80" s="443">
        <f t="shared" ref="H80:H152" si="56">F80/D80%</f>
        <v>231.12033195020746</v>
      </c>
      <c r="I80" s="443">
        <f t="shared" ref="I80:I152" si="57">G80/E80%</f>
        <v>100</v>
      </c>
      <c r="J80" s="598"/>
      <c r="K80" s="444">
        <v>943</v>
      </c>
      <c r="L80" s="443">
        <f t="shared" ref="L80:L152" si="58">K80/G80%</f>
        <v>169.29982046678634</v>
      </c>
      <c r="M80" s="471"/>
    </row>
    <row r="81" spans="1:15" ht="19.5" customHeight="1" outlineLevel="1">
      <c r="A81" s="483" t="s">
        <v>65</v>
      </c>
      <c r="B81" s="509" t="s">
        <v>722</v>
      </c>
      <c r="C81" s="510" t="s">
        <v>20</v>
      </c>
      <c r="D81" s="468">
        <v>350</v>
      </c>
      <c r="E81" s="468">
        <v>361</v>
      </c>
      <c r="F81" s="470">
        <v>386</v>
      </c>
      <c r="G81" s="469">
        <v>386</v>
      </c>
      <c r="H81" s="443">
        <f t="shared" si="56"/>
        <v>110.28571428571429</v>
      </c>
      <c r="I81" s="443">
        <f t="shared" si="57"/>
        <v>106.92520775623269</v>
      </c>
      <c r="J81" s="597"/>
      <c r="K81" s="444">
        <v>120</v>
      </c>
      <c r="L81" s="443">
        <f t="shared" si="58"/>
        <v>31.088082901554404</v>
      </c>
      <c r="M81" s="471"/>
      <c r="O81" s="407">
        <f>918-361</f>
        <v>557</v>
      </c>
    </row>
    <row r="82" spans="1:15" s="480" customFormat="1" ht="19.5" customHeight="1" outlineLevel="1">
      <c r="A82" s="511">
        <v>2</v>
      </c>
      <c r="B82" s="512" t="s">
        <v>759</v>
      </c>
      <c r="C82" s="511" t="s">
        <v>20</v>
      </c>
      <c r="D82" s="474">
        <f>D83</f>
        <v>150</v>
      </c>
      <c r="E82" s="474">
        <f t="shared" ref="E82:G82" si="59">E83</f>
        <v>150</v>
      </c>
      <c r="F82" s="474">
        <f t="shared" si="59"/>
        <v>152</v>
      </c>
      <c r="G82" s="474">
        <f t="shared" si="59"/>
        <v>152</v>
      </c>
      <c r="H82" s="443">
        <f t="shared" si="56"/>
        <v>101.33333333333333</v>
      </c>
      <c r="I82" s="443">
        <f t="shared" si="57"/>
        <v>101.33333333333333</v>
      </c>
      <c r="J82" s="598" t="s">
        <v>751</v>
      </c>
      <c r="K82" s="434">
        <f>K83</f>
        <v>557</v>
      </c>
      <c r="L82" s="443">
        <f t="shared" si="58"/>
        <v>366.4473684210526</v>
      </c>
      <c r="M82" s="477"/>
      <c r="N82" s="486"/>
    </row>
    <row r="83" spans="1:15" s="480" customFormat="1" ht="19.5" customHeight="1" outlineLevel="1">
      <c r="A83" s="511" t="s">
        <v>91</v>
      </c>
      <c r="B83" s="512" t="s">
        <v>708</v>
      </c>
      <c r="C83" s="511" t="s">
        <v>20</v>
      </c>
      <c r="D83" s="474">
        <f>D85+D90</f>
        <v>150</v>
      </c>
      <c r="E83" s="474">
        <f>E85+E90</f>
        <v>150</v>
      </c>
      <c r="F83" s="476">
        <f>F85+F90</f>
        <v>152</v>
      </c>
      <c r="G83" s="475">
        <f>G85+G90</f>
        <v>152</v>
      </c>
      <c r="H83" s="443">
        <f t="shared" ref="H83" si="60">F83/D83%</f>
        <v>101.33333333333333</v>
      </c>
      <c r="I83" s="443">
        <f t="shared" ref="I83" si="61">G83/E83%</f>
        <v>101.33333333333333</v>
      </c>
      <c r="J83" s="598" t="s">
        <v>751</v>
      </c>
      <c r="K83" s="434">
        <f>K84+K85</f>
        <v>557</v>
      </c>
      <c r="L83" s="443">
        <f t="shared" ref="L83" si="62">K83/G83%</f>
        <v>366.4473684210526</v>
      </c>
      <c r="M83" s="477"/>
      <c r="N83" s="486"/>
    </row>
    <row r="84" spans="1:15" ht="19.5" customHeight="1" outlineLevel="1">
      <c r="A84" s="483" t="s">
        <v>65</v>
      </c>
      <c r="B84" s="515" t="s">
        <v>707</v>
      </c>
      <c r="C84" s="516" t="s">
        <v>20</v>
      </c>
      <c r="D84" s="468">
        <v>65</v>
      </c>
      <c r="E84" s="468">
        <v>215</v>
      </c>
      <c r="F84" s="470">
        <v>215</v>
      </c>
      <c r="G84" s="469">
        <v>215</v>
      </c>
      <c r="H84" s="443">
        <f t="shared" si="56"/>
        <v>330.76923076923077</v>
      </c>
      <c r="I84" s="443">
        <f t="shared" si="57"/>
        <v>100</v>
      </c>
      <c r="J84" s="597"/>
      <c r="K84" s="444">
        <f>K86+K88</f>
        <v>457</v>
      </c>
      <c r="L84" s="443">
        <f t="shared" si="58"/>
        <v>212.55813953488374</v>
      </c>
      <c r="M84" s="471"/>
    </row>
    <row r="85" spans="1:15" ht="19.5" customHeight="1" outlineLevel="1">
      <c r="A85" s="483" t="s">
        <v>65</v>
      </c>
      <c r="B85" s="509" t="s">
        <v>722</v>
      </c>
      <c r="C85" s="510" t="s">
        <v>20</v>
      </c>
      <c r="D85" s="468">
        <v>150</v>
      </c>
      <c r="E85" s="468">
        <v>150</v>
      </c>
      <c r="F85" s="470">
        <v>152</v>
      </c>
      <c r="G85" s="469">
        <v>152</v>
      </c>
      <c r="H85" s="443">
        <f t="shared" si="56"/>
        <v>101.33333333333333</v>
      </c>
      <c r="I85" s="443">
        <f t="shared" si="57"/>
        <v>101.33333333333333</v>
      </c>
      <c r="J85" s="597"/>
      <c r="K85" s="444">
        <f>K87+K89</f>
        <v>100</v>
      </c>
      <c r="L85" s="443">
        <f t="shared" si="58"/>
        <v>65.78947368421052</v>
      </c>
      <c r="M85" s="471"/>
    </row>
    <row r="86" spans="1:15" ht="19.5" customHeight="1" outlineLevel="1">
      <c r="A86" s="621" t="s">
        <v>17</v>
      </c>
      <c r="B86" s="622" t="s">
        <v>768</v>
      </c>
      <c r="C86" s="621" t="s">
        <v>769</v>
      </c>
      <c r="D86" s="468"/>
      <c r="E86" s="468"/>
      <c r="F86" s="470"/>
      <c r="G86" s="469"/>
      <c r="H86" s="443"/>
      <c r="I86" s="443"/>
      <c r="J86" s="597"/>
      <c r="K86" s="444">
        <v>179</v>
      </c>
      <c r="L86" s="443"/>
      <c r="M86" s="471"/>
    </row>
    <row r="87" spans="1:15" ht="19.5" customHeight="1" outlineLevel="1">
      <c r="A87" s="623" t="s">
        <v>18</v>
      </c>
      <c r="B87" s="622" t="s">
        <v>770</v>
      </c>
      <c r="C87" s="621" t="s">
        <v>20</v>
      </c>
      <c r="D87" s="468"/>
      <c r="E87" s="468"/>
      <c r="F87" s="470"/>
      <c r="G87" s="469"/>
      <c r="H87" s="443"/>
      <c r="I87" s="443"/>
      <c r="J87" s="597"/>
      <c r="K87" s="444">
        <v>90</v>
      </c>
      <c r="L87" s="443"/>
      <c r="M87" s="471"/>
    </row>
    <row r="88" spans="1:15" ht="19.5" customHeight="1" outlineLevel="1">
      <c r="A88" s="623" t="s">
        <v>19</v>
      </c>
      <c r="B88" s="622" t="s">
        <v>771</v>
      </c>
      <c r="C88" s="621" t="s">
        <v>20</v>
      </c>
      <c r="D88" s="468"/>
      <c r="E88" s="468"/>
      <c r="F88" s="470"/>
      <c r="G88" s="469"/>
      <c r="H88" s="443"/>
      <c r="I88" s="443"/>
      <c r="J88" s="597"/>
      <c r="K88" s="444">
        <v>278</v>
      </c>
      <c r="L88" s="443"/>
      <c r="M88" s="471"/>
    </row>
    <row r="89" spans="1:15" ht="19.5" customHeight="1" outlineLevel="1">
      <c r="A89" s="624" t="s">
        <v>65</v>
      </c>
      <c r="B89" s="625" t="s">
        <v>772</v>
      </c>
      <c r="C89" s="620" t="s">
        <v>20</v>
      </c>
      <c r="D89" s="468"/>
      <c r="E89" s="468"/>
      <c r="F89" s="470"/>
      <c r="G89" s="469"/>
      <c r="H89" s="443"/>
      <c r="I89" s="443"/>
      <c r="J89" s="597"/>
      <c r="K89" s="444">
        <v>10</v>
      </c>
      <c r="L89" s="443"/>
      <c r="M89" s="471"/>
    </row>
    <row r="90" spans="1:15" ht="18.75" customHeight="1">
      <c r="A90" s="421" t="s">
        <v>25</v>
      </c>
      <c r="B90" s="462" t="s">
        <v>48</v>
      </c>
      <c r="C90" s="466"/>
      <c r="D90" s="468"/>
      <c r="E90" s="468"/>
      <c r="F90" s="470"/>
      <c r="G90" s="469"/>
      <c r="H90" s="426"/>
      <c r="I90" s="443"/>
      <c r="J90" s="598"/>
      <c r="K90" s="470"/>
      <c r="L90" s="426"/>
      <c r="M90" s="471"/>
    </row>
    <row r="91" spans="1:15" s="480" customFormat="1" ht="18.75" customHeight="1">
      <c r="A91" s="421">
        <v>1</v>
      </c>
      <c r="B91" s="462" t="s">
        <v>198</v>
      </c>
      <c r="C91" s="421" t="s">
        <v>31</v>
      </c>
      <c r="D91" s="474">
        <f t="shared" ref="D91" si="63">SUM(D92:D94)</f>
        <v>23233</v>
      </c>
      <c r="E91" s="474">
        <f t="shared" ref="E91" si="64">SUM(E92:E94)</f>
        <v>27000</v>
      </c>
      <c r="F91" s="476">
        <f t="shared" ref="F91:G91" si="65">SUM(F92:F94)</f>
        <v>20122</v>
      </c>
      <c r="G91" s="475">
        <f t="shared" si="65"/>
        <v>26800</v>
      </c>
      <c r="H91" s="443">
        <f t="shared" si="56"/>
        <v>86.609563982266593</v>
      </c>
      <c r="I91" s="443">
        <f t="shared" si="57"/>
        <v>99.259259259259252</v>
      </c>
      <c r="J91" s="597"/>
      <c r="K91" s="476">
        <f>SUM(K92:K94)</f>
        <v>29810</v>
      </c>
      <c r="L91" s="443">
        <f t="shared" si="58"/>
        <v>111.23134328358209</v>
      </c>
      <c r="M91" s="477"/>
      <c r="N91" s="506"/>
    </row>
    <row r="92" spans="1:15" ht="18.75" customHeight="1">
      <c r="A92" s="483" t="s">
        <v>65</v>
      </c>
      <c r="B92" s="467" t="s">
        <v>117</v>
      </c>
      <c r="C92" s="466" t="s">
        <v>31</v>
      </c>
      <c r="D92" s="468">
        <v>2570</v>
      </c>
      <c r="E92" s="468">
        <v>1500</v>
      </c>
      <c r="F92" s="470">
        <v>1314</v>
      </c>
      <c r="G92" s="469">
        <v>1300</v>
      </c>
      <c r="H92" s="443">
        <f t="shared" si="56"/>
        <v>51.128404669260703</v>
      </c>
      <c r="I92" s="443">
        <f t="shared" si="57"/>
        <v>86.666666666666671</v>
      </c>
      <c r="J92" s="598" t="s">
        <v>753</v>
      </c>
      <c r="K92" s="470">
        <v>1349</v>
      </c>
      <c r="L92" s="443">
        <f t="shared" si="58"/>
        <v>103.76923076923077</v>
      </c>
      <c r="M92" s="471"/>
    </row>
    <row r="93" spans="1:15" ht="18.75" customHeight="1">
      <c r="A93" s="483" t="s">
        <v>65</v>
      </c>
      <c r="B93" s="467" t="s">
        <v>118</v>
      </c>
      <c r="C93" s="466" t="s">
        <v>31</v>
      </c>
      <c r="D93" s="468">
        <v>5163</v>
      </c>
      <c r="E93" s="468">
        <v>5500</v>
      </c>
      <c r="F93" s="470">
        <v>4968</v>
      </c>
      <c r="G93" s="469">
        <v>5500</v>
      </c>
      <c r="H93" s="443">
        <f t="shared" si="56"/>
        <v>96.223126089482861</v>
      </c>
      <c r="I93" s="443">
        <f t="shared" si="57"/>
        <v>100</v>
      </c>
      <c r="J93" s="598" t="s">
        <v>751</v>
      </c>
      <c r="K93" s="470">
        <v>6461</v>
      </c>
      <c r="L93" s="443">
        <f t="shared" si="58"/>
        <v>117.47272727272727</v>
      </c>
      <c r="M93" s="471"/>
    </row>
    <row r="94" spans="1:15" ht="18.75" customHeight="1">
      <c r="A94" s="483" t="s">
        <v>65</v>
      </c>
      <c r="B94" s="467" t="s">
        <v>119</v>
      </c>
      <c r="C94" s="466" t="s">
        <v>31</v>
      </c>
      <c r="D94" s="468">
        <v>15500</v>
      </c>
      <c r="E94" s="468">
        <v>20000</v>
      </c>
      <c r="F94" s="470">
        <v>13840</v>
      </c>
      <c r="G94" s="469">
        <v>20000</v>
      </c>
      <c r="H94" s="443">
        <f t="shared" si="56"/>
        <v>89.290322580645167</v>
      </c>
      <c r="I94" s="443">
        <f t="shared" si="57"/>
        <v>100</v>
      </c>
      <c r="J94" s="598" t="s">
        <v>751</v>
      </c>
      <c r="K94" s="470">
        <v>22000</v>
      </c>
      <c r="L94" s="443">
        <f t="shared" si="58"/>
        <v>110</v>
      </c>
      <c r="M94" s="471"/>
    </row>
    <row r="95" spans="1:15" s="480" customFormat="1" ht="18.75" customHeight="1">
      <c r="A95" s="421">
        <v>2</v>
      </c>
      <c r="B95" s="485" t="s">
        <v>15</v>
      </c>
      <c r="C95" s="421" t="s">
        <v>31</v>
      </c>
      <c r="D95" s="474">
        <v>120000</v>
      </c>
      <c r="E95" s="474">
        <v>120000</v>
      </c>
      <c r="F95" s="476">
        <v>120000</v>
      </c>
      <c r="G95" s="475">
        <v>120000</v>
      </c>
      <c r="H95" s="443">
        <f t="shared" si="56"/>
        <v>100</v>
      </c>
      <c r="I95" s="443">
        <f t="shared" si="57"/>
        <v>100</v>
      </c>
      <c r="J95" s="598" t="s">
        <v>751</v>
      </c>
      <c r="K95" s="476">
        <v>130000</v>
      </c>
      <c r="L95" s="443">
        <f t="shared" si="58"/>
        <v>108.33333333333333</v>
      </c>
      <c r="M95" s="477"/>
      <c r="N95" s="486"/>
    </row>
    <row r="96" spans="1:15" s="480" customFormat="1" ht="18.75" customHeight="1">
      <c r="A96" s="421" t="s">
        <v>26</v>
      </c>
      <c r="B96" s="485" t="s">
        <v>120</v>
      </c>
      <c r="C96" s="421"/>
      <c r="D96" s="474"/>
      <c r="E96" s="474"/>
      <c r="F96" s="476"/>
      <c r="G96" s="475"/>
      <c r="H96" s="426"/>
      <c r="I96" s="443"/>
      <c r="J96" s="598"/>
      <c r="K96" s="476"/>
      <c r="L96" s="426"/>
      <c r="M96" s="477"/>
      <c r="N96" s="486"/>
    </row>
    <row r="97" spans="1:14" s="480" customFormat="1" ht="18.75" customHeight="1">
      <c r="A97" s="421" t="s">
        <v>33</v>
      </c>
      <c r="B97" s="485" t="s">
        <v>773</v>
      </c>
      <c r="C97" s="466" t="s">
        <v>47</v>
      </c>
      <c r="D97" s="474">
        <f>D98+D103</f>
        <v>311</v>
      </c>
      <c r="E97" s="474">
        <f>E98+E103</f>
        <v>343</v>
      </c>
      <c r="F97" s="474">
        <f>F98+F103</f>
        <v>342.5</v>
      </c>
      <c r="G97" s="474">
        <f>G98+G103</f>
        <v>342.5</v>
      </c>
      <c r="H97" s="474"/>
      <c r="I97" s="474"/>
      <c r="J97" s="474"/>
      <c r="K97" s="474">
        <f>K98+K103</f>
        <v>350</v>
      </c>
      <c r="L97" s="426"/>
      <c r="M97" s="477"/>
      <c r="N97" s="486"/>
    </row>
    <row r="98" spans="1:14" s="480" customFormat="1" ht="18.75" customHeight="1">
      <c r="A98" s="461">
        <v>1</v>
      </c>
      <c r="B98" s="518" t="s">
        <v>317</v>
      </c>
      <c r="C98" s="421" t="s">
        <v>47</v>
      </c>
      <c r="D98" s="474">
        <v>201</v>
      </c>
      <c r="E98" s="474">
        <v>233</v>
      </c>
      <c r="F98" s="476">
        <v>232.5</v>
      </c>
      <c r="G98" s="475">
        <v>232.5</v>
      </c>
      <c r="H98" s="426">
        <f>F98/D98%</f>
        <v>115.67164179104479</v>
      </c>
      <c r="I98" s="426">
        <f>G98/E98%</f>
        <v>99.785407725321889</v>
      </c>
      <c r="J98" s="597" t="s">
        <v>751</v>
      </c>
      <c r="K98" s="476">
        <v>240</v>
      </c>
      <c r="L98" s="426">
        <f>K98/G98%</f>
        <v>103.2258064516129</v>
      </c>
      <c r="M98" s="477"/>
      <c r="N98" s="486"/>
    </row>
    <row r="99" spans="1:14" s="480" customFormat="1" ht="18.75" customHeight="1">
      <c r="A99" s="461" t="s">
        <v>308</v>
      </c>
      <c r="B99" s="485" t="s">
        <v>774</v>
      </c>
      <c r="C99" s="421" t="s">
        <v>20</v>
      </c>
      <c r="D99" s="474">
        <v>91</v>
      </c>
      <c r="E99" s="474">
        <v>92</v>
      </c>
      <c r="F99" s="476">
        <v>95</v>
      </c>
      <c r="G99" s="475">
        <v>95</v>
      </c>
      <c r="H99" s="426">
        <f t="shared" si="56"/>
        <v>104.39560439560439</v>
      </c>
      <c r="I99" s="426">
        <f t="shared" si="57"/>
        <v>103.26086956521739</v>
      </c>
      <c r="J99" s="597" t="s">
        <v>751</v>
      </c>
      <c r="K99" s="476">
        <f>K100+K101</f>
        <v>105</v>
      </c>
      <c r="L99" s="426">
        <f t="shared" si="58"/>
        <v>110.52631578947368</v>
      </c>
      <c r="M99" s="477"/>
      <c r="N99" s="486"/>
    </row>
    <row r="100" spans="1:14" s="480" customFormat="1" ht="18.75" customHeight="1">
      <c r="A100" s="629" t="s">
        <v>65</v>
      </c>
      <c r="B100" s="628" t="s">
        <v>775</v>
      </c>
      <c r="C100" s="627" t="s">
        <v>20</v>
      </c>
      <c r="D100" s="474"/>
      <c r="E100" s="474"/>
      <c r="F100" s="476"/>
      <c r="G100" s="475"/>
      <c r="H100" s="426"/>
      <c r="I100" s="426"/>
      <c r="J100" s="597"/>
      <c r="K100" s="476">
        <v>92</v>
      </c>
      <c r="L100" s="426"/>
      <c r="M100" s="477"/>
      <c r="N100" s="486"/>
    </row>
    <row r="101" spans="1:14" ht="18.75" customHeight="1">
      <c r="A101" s="629" t="s">
        <v>65</v>
      </c>
      <c r="B101" s="628" t="s">
        <v>776</v>
      </c>
      <c r="C101" s="627" t="s">
        <v>20</v>
      </c>
      <c r="D101" s="468"/>
      <c r="E101" s="468"/>
      <c r="F101" s="470"/>
      <c r="G101" s="469"/>
      <c r="H101" s="443"/>
      <c r="I101" s="443"/>
      <c r="J101" s="598"/>
      <c r="K101" s="470">
        <v>13</v>
      </c>
      <c r="L101" s="443"/>
      <c r="M101" s="471"/>
    </row>
    <row r="102" spans="1:14" ht="18.75" customHeight="1">
      <c r="A102" s="629" t="s">
        <v>65</v>
      </c>
      <c r="B102" s="628" t="s">
        <v>777</v>
      </c>
      <c r="C102" s="627" t="s">
        <v>572</v>
      </c>
      <c r="D102" s="468"/>
      <c r="E102" s="468"/>
      <c r="F102" s="470"/>
      <c r="G102" s="469"/>
      <c r="H102" s="443"/>
      <c r="I102" s="443"/>
      <c r="J102" s="598"/>
      <c r="K102" s="470">
        <v>40</v>
      </c>
      <c r="L102" s="443"/>
      <c r="M102" s="471"/>
    </row>
    <row r="103" spans="1:14" s="480" customFormat="1" ht="18.75" customHeight="1">
      <c r="A103" s="421">
        <v>2</v>
      </c>
      <c r="B103" s="518" t="s">
        <v>778</v>
      </c>
      <c r="C103" s="421" t="s">
        <v>47</v>
      </c>
      <c r="D103" s="474">
        <v>110</v>
      </c>
      <c r="E103" s="474">
        <v>110</v>
      </c>
      <c r="F103" s="476">
        <v>110</v>
      </c>
      <c r="G103" s="475">
        <v>110</v>
      </c>
      <c r="H103" s="426">
        <f t="shared" si="56"/>
        <v>99.999999999999986</v>
      </c>
      <c r="I103" s="426">
        <f t="shared" si="57"/>
        <v>99.999999999999986</v>
      </c>
      <c r="J103" s="597" t="s">
        <v>751</v>
      </c>
      <c r="K103" s="476">
        <v>110</v>
      </c>
      <c r="L103" s="426">
        <f t="shared" si="58"/>
        <v>99.999999999999986</v>
      </c>
      <c r="M103" s="477"/>
      <c r="N103" s="486"/>
    </row>
    <row r="104" spans="1:14" s="480" customFormat="1" ht="21" customHeight="1">
      <c r="A104" s="421" t="s">
        <v>76</v>
      </c>
      <c r="B104" s="518" t="s">
        <v>80</v>
      </c>
      <c r="C104" s="421"/>
      <c r="D104" s="519"/>
      <c r="E104" s="520"/>
      <c r="F104" s="603"/>
      <c r="G104" s="521"/>
      <c r="H104" s="426"/>
      <c r="I104" s="443"/>
      <c r="J104" s="597"/>
      <c r="K104" s="522"/>
      <c r="L104" s="426"/>
      <c r="M104" s="426"/>
      <c r="N104" s="486"/>
    </row>
    <row r="105" spans="1:14" ht="25.2" customHeight="1">
      <c r="A105" s="483" t="s">
        <v>65</v>
      </c>
      <c r="B105" s="517" t="s">
        <v>200</v>
      </c>
      <c r="C105" s="466" t="s">
        <v>126</v>
      </c>
      <c r="D105" s="523">
        <v>850000</v>
      </c>
      <c r="E105" s="523">
        <v>900000</v>
      </c>
      <c r="F105" s="525">
        <v>920000</v>
      </c>
      <c r="G105" s="524">
        <v>920000</v>
      </c>
      <c r="H105" s="443">
        <f t="shared" si="56"/>
        <v>108.23529411764706</v>
      </c>
      <c r="I105" s="443">
        <f t="shared" si="57"/>
        <v>102.22222222222223</v>
      </c>
      <c r="J105" s="598" t="s">
        <v>751</v>
      </c>
      <c r="K105" s="525">
        <v>920000</v>
      </c>
      <c r="L105" s="443">
        <f t="shared" si="58"/>
        <v>100</v>
      </c>
      <c r="M105" s="471"/>
    </row>
    <row r="106" spans="1:14" ht="25.2" customHeight="1">
      <c r="A106" s="483" t="s">
        <v>65</v>
      </c>
      <c r="B106" s="467" t="s">
        <v>128</v>
      </c>
      <c r="C106" s="466"/>
      <c r="D106" s="526"/>
      <c r="E106" s="526"/>
      <c r="F106" s="545"/>
      <c r="G106" s="527"/>
      <c r="H106" s="426"/>
      <c r="I106" s="443"/>
      <c r="J106" s="598"/>
      <c r="K106" s="528"/>
      <c r="L106" s="426"/>
      <c r="M106" s="471"/>
    </row>
    <row r="107" spans="1:14" ht="25.2" customHeight="1">
      <c r="A107" s="483" t="s">
        <v>65</v>
      </c>
      <c r="B107" s="467" t="s">
        <v>584</v>
      </c>
      <c r="C107" s="466" t="s">
        <v>40</v>
      </c>
      <c r="D107" s="523">
        <v>150</v>
      </c>
      <c r="E107" s="523">
        <v>153</v>
      </c>
      <c r="F107" s="604">
        <v>134</v>
      </c>
      <c r="G107" s="529">
        <v>156</v>
      </c>
      <c r="H107" s="443">
        <f t="shared" si="56"/>
        <v>89.333333333333329</v>
      </c>
      <c r="I107" s="443">
        <f t="shared" si="57"/>
        <v>101.96078431372548</v>
      </c>
      <c r="J107" s="598" t="s">
        <v>751</v>
      </c>
      <c r="K107" s="530">
        <v>156</v>
      </c>
      <c r="L107" s="443">
        <f t="shared" si="58"/>
        <v>100</v>
      </c>
      <c r="M107" s="471"/>
    </row>
    <row r="108" spans="1:14" ht="25.2" customHeight="1">
      <c r="A108" s="483" t="s">
        <v>65</v>
      </c>
      <c r="B108" s="467" t="s">
        <v>130</v>
      </c>
      <c r="C108" s="466" t="s">
        <v>47</v>
      </c>
      <c r="D108" s="523">
        <v>52000</v>
      </c>
      <c r="E108" s="523">
        <v>53700</v>
      </c>
      <c r="F108" s="525">
        <v>46600</v>
      </c>
      <c r="G108" s="524">
        <v>54850</v>
      </c>
      <c r="H108" s="443">
        <f t="shared" si="56"/>
        <v>89.615384615384613</v>
      </c>
      <c r="I108" s="443">
        <f t="shared" si="57"/>
        <v>102.1415270018622</v>
      </c>
      <c r="J108" s="598" t="s">
        <v>751</v>
      </c>
      <c r="K108" s="525">
        <v>54000</v>
      </c>
      <c r="L108" s="443">
        <f t="shared" si="58"/>
        <v>98.450319051959895</v>
      </c>
      <c r="M108" s="471"/>
    </row>
    <row r="109" spans="1:14" ht="25.2" customHeight="1">
      <c r="A109" s="483" t="s">
        <v>65</v>
      </c>
      <c r="B109" s="467" t="s">
        <v>131</v>
      </c>
      <c r="C109" s="466" t="s">
        <v>47</v>
      </c>
      <c r="D109" s="523">
        <v>10000</v>
      </c>
      <c r="E109" s="523">
        <v>10200</v>
      </c>
      <c r="F109" s="525">
        <v>8940</v>
      </c>
      <c r="G109" s="524">
        <v>10420</v>
      </c>
      <c r="H109" s="443">
        <f t="shared" si="56"/>
        <v>89.4</v>
      </c>
      <c r="I109" s="443">
        <f t="shared" si="57"/>
        <v>102.15686274509804</v>
      </c>
      <c r="J109" s="598" t="s">
        <v>751</v>
      </c>
      <c r="K109" s="525">
        <v>10200</v>
      </c>
      <c r="L109" s="443">
        <f t="shared" si="58"/>
        <v>97.888675623800381</v>
      </c>
      <c r="M109" s="471"/>
    </row>
    <row r="110" spans="1:14" ht="25.2" customHeight="1">
      <c r="A110" s="483" t="s">
        <v>65</v>
      </c>
      <c r="B110" s="467" t="s">
        <v>132</v>
      </c>
      <c r="C110" s="466" t="s">
        <v>725</v>
      </c>
      <c r="D110" s="523">
        <v>90</v>
      </c>
      <c r="E110" s="523">
        <v>92</v>
      </c>
      <c r="F110" s="525">
        <v>79</v>
      </c>
      <c r="G110" s="524">
        <v>92</v>
      </c>
      <c r="H110" s="443">
        <f t="shared" si="56"/>
        <v>87.777777777777771</v>
      </c>
      <c r="I110" s="443">
        <f t="shared" si="57"/>
        <v>100</v>
      </c>
      <c r="J110" s="598" t="s">
        <v>751</v>
      </c>
      <c r="K110" s="525">
        <v>92</v>
      </c>
      <c r="L110" s="426">
        <f t="shared" si="58"/>
        <v>100</v>
      </c>
      <c r="M110" s="471"/>
    </row>
    <row r="111" spans="1:14" s="480" customFormat="1" ht="22.95" customHeight="1">
      <c r="A111" s="421" t="s">
        <v>79</v>
      </c>
      <c r="B111" s="462" t="s">
        <v>201</v>
      </c>
      <c r="C111" s="421"/>
      <c r="D111" s="531"/>
      <c r="E111" s="523"/>
      <c r="F111" s="605"/>
      <c r="G111" s="532"/>
      <c r="H111" s="426"/>
      <c r="I111" s="443"/>
      <c r="J111" s="597"/>
      <c r="K111" s="525"/>
      <c r="L111" s="426"/>
      <c r="M111" s="426"/>
      <c r="N111" s="486"/>
    </row>
    <row r="112" spans="1:14" ht="24" customHeight="1">
      <c r="A112" s="483" t="s">
        <v>65</v>
      </c>
      <c r="B112" s="467" t="s">
        <v>81</v>
      </c>
      <c r="C112" s="466" t="s">
        <v>126</v>
      </c>
      <c r="D112" s="523">
        <v>900000</v>
      </c>
      <c r="E112" s="523">
        <v>950000</v>
      </c>
      <c r="F112" s="525">
        <v>970000</v>
      </c>
      <c r="G112" s="524">
        <v>970000</v>
      </c>
      <c r="H112" s="443">
        <f t="shared" si="56"/>
        <v>107.77777777777777</v>
      </c>
      <c r="I112" s="443">
        <f t="shared" si="57"/>
        <v>102.10526315789474</v>
      </c>
      <c r="J112" s="598"/>
      <c r="K112" s="525">
        <v>970000</v>
      </c>
      <c r="L112" s="443">
        <f t="shared" si="58"/>
        <v>100</v>
      </c>
      <c r="M112" s="471"/>
    </row>
    <row r="113" spans="1:15" ht="25.5" customHeight="1">
      <c r="A113" s="466"/>
      <c r="B113" s="423" t="s">
        <v>755</v>
      </c>
      <c r="C113" s="466"/>
      <c r="D113" s="533"/>
      <c r="E113" s="534"/>
      <c r="F113" s="545"/>
      <c r="G113" s="527"/>
      <c r="H113" s="426"/>
      <c r="I113" s="443"/>
      <c r="J113" s="598"/>
      <c r="K113" s="535"/>
      <c r="L113" s="426"/>
      <c r="M113" s="471"/>
    </row>
    <row r="114" spans="1:15" s="480" customFormat="1" ht="22.5" customHeight="1">
      <c r="A114" s="421" t="s">
        <v>21</v>
      </c>
      <c r="B114" s="462" t="s">
        <v>147</v>
      </c>
      <c r="C114" s="421"/>
      <c r="D114" s="531"/>
      <c r="E114" s="536"/>
      <c r="F114" s="605"/>
      <c r="G114" s="532"/>
      <c r="H114" s="426"/>
      <c r="I114" s="443"/>
      <c r="J114" s="598"/>
      <c r="K114" s="537"/>
      <c r="L114" s="426"/>
      <c r="M114" s="477"/>
      <c r="N114" s="486"/>
    </row>
    <row r="115" spans="1:15" ht="22.5" customHeight="1">
      <c r="A115" s="483" t="s">
        <v>65</v>
      </c>
      <c r="B115" s="467" t="s">
        <v>134</v>
      </c>
      <c r="C115" s="466" t="s">
        <v>45</v>
      </c>
      <c r="D115" s="523">
        <v>51436</v>
      </c>
      <c r="E115" s="523">
        <v>52543</v>
      </c>
      <c r="F115" s="525">
        <v>52539</v>
      </c>
      <c r="G115" s="524">
        <v>52539</v>
      </c>
      <c r="H115" s="443">
        <f t="shared" si="56"/>
        <v>102.14441247375379</v>
      </c>
      <c r="I115" s="443">
        <f t="shared" si="57"/>
        <v>99.992387187636808</v>
      </c>
      <c r="J115" s="598" t="s">
        <v>751</v>
      </c>
      <c r="K115" s="525">
        <v>53300</v>
      </c>
      <c r="L115" s="443">
        <f t="shared" si="58"/>
        <v>101.44844781971489</v>
      </c>
      <c r="M115" s="471"/>
    </row>
    <row r="116" spans="1:15" ht="22.5" customHeight="1">
      <c r="A116" s="483" t="s">
        <v>65</v>
      </c>
      <c r="B116" s="517" t="s">
        <v>160</v>
      </c>
      <c r="C116" s="538" t="s">
        <v>16</v>
      </c>
      <c r="D116" s="539">
        <v>2</v>
      </c>
      <c r="E116" s="539">
        <v>1.8</v>
      </c>
      <c r="F116" s="541">
        <v>1.9</v>
      </c>
      <c r="G116" s="540">
        <v>1.9</v>
      </c>
      <c r="H116" s="443">
        <f t="shared" si="56"/>
        <v>95</v>
      </c>
      <c r="I116" s="443">
        <f t="shared" si="57"/>
        <v>105.55555555555554</v>
      </c>
      <c r="J116" s="598" t="s">
        <v>751</v>
      </c>
      <c r="K116" s="541">
        <v>1.8</v>
      </c>
      <c r="L116" s="443">
        <f t="shared" si="58"/>
        <v>94.736842105263165</v>
      </c>
      <c r="M116" s="471"/>
    </row>
    <row r="117" spans="1:15" s="480" customFormat="1" ht="21" customHeight="1">
      <c r="A117" s="421" t="s">
        <v>22</v>
      </c>
      <c r="B117" s="462" t="s">
        <v>66</v>
      </c>
      <c r="C117" s="421"/>
      <c r="D117" s="531"/>
      <c r="E117" s="432"/>
      <c r="F117" s="605"/>
      <c r="G117" s="532"/>
      <c r="H117" s="426"/>
      <c r="I117" s="443"/>
      <c r="J117" s="598"/>
      <c r="K117" s="434"/>
      <c r="L117" s="426"/>
      <c r="M117" s="477"/>
      <c r="N117" s="486"/>
    </row>
    <row r="118" spans="1:15" ht="21" customHeight="1">
      <c r="A118" s="542" t="s">
        <v>65</v>
      </c>
      <c r="B118" s="543" t="s">
        <v>161</v>
      </c>
      <c r="C118" s="544" t="s">
        <v>16</v>
      </c>
      <c r="D118" s="545">
        <v>45.5</v>
      </c>
      <c r="E118" s="546">
        <v>45.7</v>
      </c>
      <c r="F118" s="547">
        <v>48</v>
      </c>
      <c r="G118" s="547">
        <v>48</v>
      </c>
      <c r="H118" s="443">
        <f t="shared" si="56"/>
        <v>105.49450549450549</v>
      </c>
      <c r="I118" s="443">
        <f t="shared" si="57"/>
        <v>105.03282275711159</v>
      </c>
      <c r="J118" s="598" t="s">
        <v>751</v>
      </c>
      <c r="K118" s="549">
        <v>48</v>
      </c>
      <c r="L118" s="443">
        <f t="shared" si="58"/>
        <v>100</v>
      </c>
      <c r="M118" s="550"/>
    </row>
    <row r="119" spans="1:15" ht="21" customHeight="1">
      <c r="A119" s="544"/>
      <c r="B119" s="543" t="s">
        <v>162</v>
      </c>
      <c r="C119" s="544" t="s">
        <v>16</v>
      </c>
      <c r="D119" s="545">
        <v>37.6</v>
      </c>
      <c r="E119" s="546">
        <v>38.5</v>
      </c>
      <c r="F119" s="547">
        <v>39.020000000000003</v>
      </c>
      <c r="G119" s="547">
        <v>39.020000000000003</v>
      </c>
      <c r="H119" s="443">
        <f t="shared" si="56"/>
        <v>103.77659574468086</v>
      </c>
      <c r="I119" s="443">
        <f t="shared" si="57"/>
        <v>101.35064935064936</v>
      </c>
      <c r="J119" s="598" t="s">
        <v>751</v>
      </c>
      <c r="K119" s="549">
        <v>41</v>
      </c>
      <c r="L119" s="443">
        <f t="shared" si="58"/>
        <v>105.07432086109687</v>
      </c>
      <c r="M119" s="550"/>
    </row>
    <row r="120" spans="1:15" ht="27.6">
      <c r="A120" s="542" t="s">
        <v>65</v>
      </c>
      <c r="B120" s="543" t="s">
        <v>709</v>
      </c>
      <c r="C120" s="544" t="s">
        <v>51</v>
      </c>
      <c r="D120" s="444">
        <v>139</v>
      </c>
      <c r="E120" s="444">
        <v>390</v>
      </c>
      <c r="F120" s="444">
        <v>326</v>
      </c>
      <c r="G120" s="444">
        <v>326</v>
      </c>
      <c r="H120" s="443">
        <f t="shared" si="56"/>
        <v>234.53237410071944</v>
      </c>
      <c r="I120" s="443">
        <f t="shared" si="57"/>
        <v>83.589743589743591</v>
      </c>
      <c r="J120" s="599"/>
      <c r="K120" s="442">
        <v>435</v>
      </c>
      <c r="L120" s="443">
        <f t="shared" si="58"/>
        <v>133.43558282208591</v>
      </c>
      <c r="M120" s="550"/>
    </row>
    <row r="121" spans="1:15" ht="30.75" customHeight="1">
      <c r="A121" s="542" t="s">
        <v>65</v>
      </c>
      <c r="B121" s="543" t="s">
        <v>164</v>
      </c>
      <c r="C121" s="544" t="s">
        <v>165</v>
      </c>
      <c r="D121" s="545">
        <v>120</v>
      </c>
      <c r="E121" s="543">
        <v>150</v>
      </c>
      <c r="F121" s="547">
        <v>150</v>
      </c>
      <c r="G121" s="547">
        <v>150</v>
      </c>
      <c r="H121" s="443">
        <f t="shared" si="56"/>
        <v>125</v>
      </c>
      <c r="I121" s="443">
        <f t="shared" si="57"/>
        <v>100</v>
      </c>
      <c r="J121" s="598" t="s">
        <v>751</v>
      </c>
      <c r="K121" s="551">
        <v>180</v>
      </c>
      <c r="L121" s="443">
        <f t="shared" si="58"/>
        <v>120</v>
      </c>
      <c r="M121" s="550"/>
    </row>
    <row r="122" spans="1:15" ht="21" customHeight="1">
      <c r="A122" s="421" t="s">
        <v>25</v>
      </c>
      <c r="B122" s="462" t="s">
        <v>108</v>
      </c>
      <c r="C122" s="466"/>
      <c r="D122" s="533"/>
      <c r="E122" s="441"/>
      <c r="F122" s="545"/>
      <c r="G122" s="527"/>
      <c r="H122" s="426"/>
      <c r="I122" s="443"/>
      <c r="J122" s="598"/>
      <c r="K122" s="444"/>
      <c r="L122" s="426"/>
      <c r="M122" s="471"/>
    </row>
    <row r="123" spans="1:15" ht="27.6">
      <c r="A123" s="483" t="s">
        <v>65</v>
      </c>
      <c r="B123" s="552" t="s">
        <v>729</v>
      </c>
      <c r="C123" s="466" t="s">
        <v>16</v>
      </c>
      <c r="D123" s="553">
        <v>2.54</v>
      </c>
      <c r="E123" s="553">
        <v>3</v>
      </c>
      <c r="F123" s="555">
        <v>3.34</v>
      </c>
      <c r="G123" s="554">
        <v>3.34</v>
      </c>
      <c r="H123" s="443">
        <f t="shared" si="56"/>
        <v>131.49606299212599</v>
      </c>
      <c r="I123" s="443">
        <f t="shared" si="57"/>
        <v>111.33333333333333</v>
      </c>
      <c r="J123" s="598"/>
      <c r="K123" s="555">
        <v>3</v>
      </c>
      <c r="L123" s="443">
        <f t="shared" si="58"/>
        <v>89.820359281437135</v>
      </c>
      <c r="M123" s="471"/>
    </row>
    <row r="124" spans="1:15" ht="21" customHeight="1">
      <c r="A124" s="483" t="s">
        <v>65</v>
      </c>
      <c r="B124" s="552" t="s">
        <v>163</v>
      </c>
      <c r="C124" s="466" t="s">
        <v>16</v>
      </c>
      <c r="D124" s="533">
        <v>12.04</v>
      </c>
      <c r="E124" s="549">
        <v>8.8000000000000007</v>
      </c>
      <c r="F124" s="545">
        <v>8.49</v>
      </c>
      <c r="G124" s="527">
        <v>8.49</v>
      </c>
      <c r="H124" s="443">
        <f t="shared" si="56"/>
        <v>70.514950166112968</v>
      </c>
      <c r="I124" s="443">
        <f t="shared" si="57"/>
        <v>96.47727272727272</v>
      </c>
      <c r="J124" s="600"/>
      <c r="K124" s="549">
        <f>G124-K123</f>
        <v>5.49</v>
      </c>
      <c r="L124" s="443">
        <f t="shared" si="58"/>
        <v>64.664310954063609</v>
      </c>
      <c r="M124" s="556"/>
      <c r="N124" s="557"/>
    </row>
    <row r="125" spans="1:15" s="480" customFormat="1" ht="20.25" customHeight="1">
      <c r="A125" s="421" t="s">
        <v>26</v>
      </c>
      <c r="B125" s="462" t="s">
        <v>0</v>
      </c>
      <c r="C125" s="421"/>
      <c r="D125" s="531"/>
      <c r="E125" s="536"/>
      <c r="F125" s="605"/>
      <c r="G125" s="532"/>
      <c r="H125" s="426"/>
      <c r="I125" s="443"/>
      <c r="J125" s="598"/>
      <c r="K125" s="537"/>
      <c r="L125" s="426"/>
      <c r="M125" s="477"/>
      <c r="N125" s="486"/>
    </row>
    <row r="126" spans="1:15" ht="23.25" customHeight="1">
      <c r="A126" s="483" t="s">
        <v>65</v>
      </c>
      <c r="B126" s="467" t="s">
        <v>157</v>
      </c>
      <c r="C126" s="466" t="s">
        <v>1</v>
      </c>
      <c r="D126" s="441">
        <f t="shared" ref="D126:G126" si="66">D127+D131+D132+D133</f>
        <v>14770</v>
      </c>
      <c r="E126" s="441">
        <f t="shared" si="66"/>
        <v>15060</v>
      </c>
      <c r="F126" s="444">
        <f t="shared" ref="F126" si="67">F127+F131+F132+F133</f>
        <v>15052</v>
      </c>
      <c r="G126" s="442">
        <f t="shared" si="66"/>
        <v>15052</v>
      </c>
      <c r="H126" s="443">
        <f t="shared" si="56"/>
        <v>101.90927555856467</v>
      </c>
      <c r="I126" s="443">
        <f t="shared" si="57"/>
        <v>99.946879150066408</v>
      </c>
      <c r="J126" s="598" t="s">
        <v>751</v>
      </c>
      <c r="K126" s="441">
        <f>K127+K131+K132+K133</f>
        <v>15880</v>
      </c>
      <c r="L126" s="443">
        <f t="shared" si="58"/>
        <v>105.50093010895561</v>
      </c>
      <c r="M126" s="471"/>
      <c r="O126" s="407">
        <f>3922</f>
        <v>3922</v>
      </c>
    </row>
    <row r="127" spans="1:15" ht="21" customHeight="1">
      <c r="A127" s="483" t="s">
        <v>65</v>
      </c>
      <c r="B127" s="467" t="s">
        <v>83</v>
      </c>
      <c r="C127" s="466" t="s">
        <v>1</v>
      </c>
      <c r="D127" s="441">
        <f t="shared" ref="D127" si="68">D128+D130</f>
        <v>4236</v>
      </c>
      <c r="E127" s="441">
        <f t="shared" ref="E127:G127" si="69">E128+E130</f>
        <v>4308</v>
      </c>
      <c r="F127" s="444">
        <f t="shared" ref="F127" si="70">F128+F130</f>
        <v>4290</v>
      </c>
      <c r="G127" s="442">
        <f t="shared" si="69"/>
        <v>4290</v>
      </c>
      <c r="H127" s="443">
        <f t="shared" si="56"/>
        <v>101.27478753541077</v>
      </c>
      <c r="I127" s="443">
        <f t="shared" si="57"/>
        <v>99.582172701949858</v>
      </c>
      <c r="J127" s="598" t="s">
        <v>751</v>
      </c>
      <c r="K127" s="442">
        <f>K128+K130</f>
        <v>4465</v>
      </c>
      <c r="L127" s="443">
        <f t="shared" si="58"/>
        <v>104.07925407925408</v>
      </c>
      <c r="M127" s="471"/>
      <c r="O127" s="407">
        <v>386</v>
      </c>
    </row>
    <row r="128" spans="1:15" ht="21" customHeight="1">
      <c r="A128" s="483" t="s">
        <v>65</v>
      </c>
      <c r="B128" s="467" t="s">
        <v>84</v>
      </c>
      <c r="C128" s="466" t="s">
        <v>2</v>
      </c>
      <c r="D128" s="533">
        <v>409</v>
      </c>
      <c r="E128" s="441">
        <v>386</v>
      </c>
      <c r="F128" s="545">
        <v>405</v>
      </c>
      <c r="G128" s="527">
        <v>405</v>
      </c>
      <c r="H128" s="443">
        <f t="shared" si="56"/>
        <v>99.022004889975548</v>
      </c>
      <c r="I128" s="443">
        <f t="shared" si="57"/>
        <v>104.92227979274612</v>
      </c>
      <c r="J128" s="598" t="s">
        <v>751</v>
      </c>
      <c r="K128" s="442">
        <v>465</v>
      </c>
      <c r="L128" s="443">
        <f t="shared" si="58"/>
        <v>114.81481481481482</v>
      </c>
      <c r="M128" s="471"/>
      <c r="O128" s="407">
        <f>O126+O127</f>
        <v>4308</v>
      </c>
    </row>
    <row r="129" spans="1:17" ht="21" customHeight="1">
      <c r="A129" s="483"/>
      <c r="B129" s="487" t="s">
        <v>779</v>
      </c>
      <c r="C129" s="466" t="s">
        <v>2</v>
      </c>
      <c r="D129" s="533"/>
      <c r="E129" s="441"/>
      <c r="F129" s="545"/>
      <c r="G129" s="527"/>
      <c r="H129" s="443"/>
      <c r="I129" s="443"/>
      <c r="J129" s="598"/>
      <c r="K129" s="442">
        <v>150</v>
      </c>
      <c r="L129" s="443"/>
      <c r="M129" s="471"/>
    </row>
    <row r="130" spans="1:17" ht="21" customHeight="1">
      <c r="A130" s="483" t="s">
        <v>65</v>
      </c>
      <c r="B130" s="467" t="s">
        <v>85</v>
      </c>
      <c r="C130" s="466" t="s">
        <v>2</v>
      </c>
      <c r="D130" s="441">
        <v>3827</v>
      </c>
      <c r="E130" s="441">
        <v>3922</v>
      </c>
      <c r="F130" s="444">
        <v>3885</v>
      </c>
      <c r="G130" s="442">
        <v>3885</v>
      </c>
      <c r="H130" s="443">
        <f t="shared" si="56"/>
        <v>101.51554742618238</v>
      </c>
      <c r="I130" s="443">
        <f t="shared" si="57"/>
        <v>99.056603773584911</v>
      </c>
      <c r="J130" s="598" t="s">
        <v>751</v>
      </c>
      <c r="K130" s="442">
        <v>4000</v>
      </c>
      <c r="L130" s="443">
        <f t="shared" si="58"/>
        <v>102.96010296010296</v>
      </c>
      <c r="M130" s="471"/>
    </row>
    <row r="131" spans="1:17" s="448" customFormat="1" ht="21" customHeight="1">
      <c r="A131" s="438" t="s">
        <v>65</v>
      </c>
      <c r="B131" s="439" t="s">
        <v>104</v>
      </c>
      <c r="C131" s="567" t="s">
        <v>1</v>
      </c>
      <c r="D131" s="441">
        <v>6551</v>
      </c>
      <c r="E131" s="441">
        <v>6571</v>
      </c>
      <c r="F131" s="444">
        <v>6555</v>
      </c>
      <c r="G131" s="442">
        <v>6555</v>
      </c>
      <c r="H131" s="443">
        <f t="shared" si="56"/>
        <v>100.06105938024729</v>
      </c>
      <c r="I131" s="443">
        <f t="shared" si="57"/>
        <v>99.756505859077777</v>
      </c>
      <c r="J131" s="598" t="s">
        <v>751</v>
      </c>
      <c r="K131" s="442">
        <v>6565</v>
      </c>
      <c r="L131" s="443">
        <f t="shared" si="58"/>
        <v>100.15255530129673</v>
      </c>
      <c r="M131" s="445"/>
      <c r="N131" s="446"/>
    </row>
    <row r="132" spans="1:17" ht="21" customHeight="1">
      <c r="A132" s="483" t="s">
        <v>65</v>
      </c>
      <c r="B132" s="467" t="s">
        <v>105</v>
      </c>
      <c r="C132" s="466" t="s">
        <v>1</v>
      </c>
      <c r="D132" s="533">
        <v>3943</v>
      </c>
      <c r="E132" s="441">
        <v>4131</v>
      </c>
      <c r="F132" s="606">
        <v>4082</v>
      </c>
      <c r="G132" s="558">
        <v>4082</v>
      </c>
      <c r="H132" s="443">
        <f t="shared" si="56"/>
        <v>103.52523459294953</v>
      </c>
      <c r="I132" s="443">
        <f t="shared" si="57"/>
        <v>98.813846526264825</v>
      </c>
      <c r="J132" s="598" t="s">
        <v>751</v>
      </c>
      <c r="K132" s="618">
        <v>4700</v>
      </c>
      <c r="L132" s="443">
        <f t="shared" si="58"/>
        <v>115.13963743263106</v>
      </c>
      <c r="M132" s="471"/>
    </row>
    <row r="133" spans="1:17" s="560" customFormat="1">
      <c r="A133" s="483" t="s">
        <v>65</v>
      </c>
      <c r="B133" s="467" t="s">
        <v>710</v>
      </c>
      <c r="C133" s="466" t="s">
        <v>1</v>
      </c>
      <c r="D133" s="533">
        <v>40</v>
      </c>
      <c r="E133" s="444">
        <v>50</v>
      </c>
      <c r="F133" s="545">
        <v>125</v>
      </c>
      <c r="G133" s="527">
        <v>125</v>
      </c>
      <c r="H133" s="443">
        <f t="shared" si="56"/>
        <v>312.5</v>
      </c>
      <c r="I133" s="443">
        <f t="shared" si="57"/>
        <v>250</v>
      </c>
      <c r="J133" s="598" t="s">
        <v>751</v>
      </c>
      <c r="K133" s="442">
        <v>150</v>
      </c>
      <c r="L133" s="443">
        <f t="shared" si="58"/>
        <v>120</v>
      </c>
      <c r="M133" s="550"/>
      <c r="N133" s="559"/>
    </row>
    <row r="134" spans="1:17" ht="22.5" customHeight="1">
      <c r="A134" s="483" t="s">
        <v>65</v>
      </c>
      <c r="B134" s="467" t="s">
        <v>63</v>
      </c>
      <c r="C134" s="466" t="s">
        <v>16</v>
      </c>
      <c r="D134" s="533">
        <v>84.37</v>
      </c>
      <c r="E134" s="561">
        <v>83</v>
      </c>
      <c r="F134" s="545">
        <v>83.8</v>
      </c>
      <c r="G134" s="527">
        <v>83.8</v>
      </c>
      <c r="H134" s="443">
        <f t="shared" si="56"/>
        <v>99.324404409150162</v>
      </c>
      <c r="I134" s="443">
        <f t="shared" si="57"/>
        <v>100.96385542168674</v>
      </c>
      <c r="J134" s="598" t="s">
        <v>751</v>
      </c>
      <c r="K134" s="562">
        <v>83.8</v>
      </c>
      <c r="L134" s="443">
        <f t="shared" si="58"/>
        <v>100</v>
      </c>
      <c r="M134" s="471"/>
    </row>
    <row r="135" spans="1:17" ht="22.5" customHeight="1">
      <c r="A135" s="630" t="s">
        <v>65</v>
      </c>
      <c r="B135" s="631" t="s">
        <v>711</v>
      </c>
      <c r="C135" s="466"/>
      <c r="D135" s="533"/>
      <c r="E135" s="561"/>
      <c r="F135" s="545"/>
      <c r="G135" s="527"/>
      <c r="H135" s="426"/>
      <c r="I135" s="443"/>
      <c r="J135" s="598"/>
      <c r="K135" s="562"/>
      <c r="L135" s="426"/>
      <c r="M135" s="471"/>
    </row>
    <row r="136" spans="1:17" ht="22.5" customHeight="1">
      <c r="A136" s="483" t="s">
        <v>65</v>
      </c>
      <c r="B136" s="563" t="s">
        <v>104</v>
      </c>
      <c r="C136" s="466" t="s">
        <v>16</v>
      </c>
      <c r="D136" s="533">
        <v>95.7</v>
      </c>
      <c r="E136" s="564">
        <v>95.9</v>
      </c>
      <c r="F136" s="565">
        <v>99.7</v>
      </c>
      <c r="G136" s="565">
        <v>99.7</v>
      </c>
      <c r="H136" s="443">
        <f t="shared" si="56"/>
        <v>104.17972831765935</v>
      </c>
      <c r="I136" s="443">
        <f t="shared" si="57"/>
        <v>103.96246089676747</v>
      </c>
      <c r="J136" s="598"/>
      <c r="K136" s="565">
        <v>99.7</v>
      </c>
      <c r="L136" s="443">
        <f t="shared" si="58"/>
        <v>100</v>
      </c>
      <c r="M136" s="471"/>
    </row>
    <row r="137" spans="1:17" ht="22.5" customHeight="1">
      <c r="A137" s="483" t="s">
        <v>65</v>
      </c>
      <c r="B137" s="563" t="s">
        <v>159</v>
      </c>
      <c r="C137" s="466" t="s">
        <v>16</v>
      </c>
      <c r="D137" s="533">
        <v>91.3</v>
      </c>
      <c r="E137" s="564">
        <v>91.5</v>
      </c>
      <c r="F137" s="565">
        <v>93.5</v>
      </c>
      <c r="G137" s="565">
        <v>93.5</v>
      </c>
      <c r="H137" s="443">
        <f t="shared" si="56"/>
        <v>102.40963855421688</v>
      </c>
      <c r="I137" s="443">
        <f t="shared" si="57"/>
        <v>102.18579234972677</v>
      </c>
      <c r="J137" s="598"/>
      <c r="K137" s="565">
        <v>95.5</v>
      </c>
      <c r="L137" s="443">
        <f t="shared" si="58"/>
        <v>102.13903743315507</v>
      </c>
      <c r="M137" s="471"/>
    </row>
    <row r="138" spans="1:17" ht="22.5" customHeight="1">
      <c r="A138" s="421" t="s">
        <v>28</v>
      </c>
      <c r="B138" s="462" t="s">
        <v>586</v>
      </c>
      <c r="C138" s="466"/>
      <c r="D138" s="533"/>
      <c r="E138" s="526"/>
      <c r="F138" s="545"/>
      <c r="G138" s="527"/>
      <c r="H138" s="443"/>
      <c r="I138" s="443"/>
      <c r="J138" s="598"/>
      <c r="K138" s="528"/>
      <c r="L138" s="426"/>
      <c r="M138" s="471"/>
    </row>
    <row r="139" spans="1:17" ht="22.5" customHeight="1">
      <c r="A139" s="483" t="s">
        <v>65</v>
      </c>
      <c r="B139" s="467" t="s">
        <v>146</v>
      </c>
      <c r="C139" s="466" t="s">
        <v>64</v>
      </c>
      <c r="D139" s="533">
        <f>D140+D141</f>
        <v>195</v>
      </c>
      <c r="E139" s="533">
        <f t="shared" ref="E139:G139" si="71">E140+E141</f>
        <v>195</v>
      </c>
      <c r="F139" s="545">
        <f t="shared" ref="F139" si="72">F140+F141</f>
        <v>195</v>
      </c>
      <c r="G139" s="533">
        <f t="shared" si="71"/>
        <v>195</v>
      </c>
      <c r="H139" s="443">
        <f t="shared" si="56"/>
        <v>100</v>
      </c>
      <c r="I139" s="443">
        <f t="shared" si="57"/>
        <v>100</v>
      </c>
      <c r="J139" s="598" t="s">
        <v>751</v>
      </c>
      <c r="K139" s="533">
        <f>K140+K141</f>
        <v>195</v>
      </c>
      <c r="L139" s="443">
        <f t="shared" si="58"/>
        <v>100</v>
      </c>
      <c r="M139" s="471"/>
    </row>
    <row r="140" spans="1:17" ht="22.5" customHeight="1">
      <c r="A140" s="483" t="s">
        <v>65</v>
      </c>
      <c r="B140" s="467" t="s">
        <v>580</v>
      </c>
      <c r="C140" s="466" t="s">
        <v>64</v>
      </c>
      <c r="D140" s="533">
        <v>150</v>
      </c>
      <c r="E140" s="526">
        <v>150</v>
      </c>
      <c r="F140" s="545">
        <v>150</v>
      </c>
      <c r="G140" s="527">
        <v>150</v>
      </c>
      <c r="H140" s="443">
        <f t="shared" si="56"/>
        <v>100</v>
      </c>
      <c r="I140" s="443">
        <f t="shared" si="57"/>
        <v>100</v>
      </c>
      <c r="J140" s="598" t="s">
        <v>751</v>
      </c>
      <c r="K140" s="528">
        <v>150</v>
      </c>
      <c r="L140" s="443">
        <f t="shared" si="58"/>
        <v>100</v>
      </c>
      <c r="M140" s="471"/>
      <c r="O140" s="566"/>
      <c r="P140" s="566"/>
      <c r="Q140" s="566"/>
    </row>
    <row r="141" spans="1:17" ht="22.5" customHeight="1">
      <c r="A141" s="483" t="s">
        <v>65</v>
      </c>
      <c r="B141" s="467" t="s">
        <v>581</v>
      </c>
      <c r="C141" s="466" t="s">
        <v>64</v>
      </c>
      <c r="D141" s="533">
        <v>45</v>
      </c>
      <c r="E141" s="526">
        <v>45</v>
      </c>
      <c r="F141" s="545">
        <v>45</v>
      </c>
      <c r="G141" s="527">
        <v>45</v>
      </c>
      <c r="H141" s="443">
        <f t="shared" si="56"/>
        <v>100</v>
      </c>
      <c r="I141" s="443">
        <f t="shared" si="57"/>
        <v>100</v>
      </c>
      <c r="J141" s="598" t="s">
        <v>751</v>
      </c>
      <c r="K141" s="528">
        <v>45</v>
      </c>
      <c r="L141" s="443">
        <f t="shared" si="58"/>
        <v>100</v>
      </c>
      <c r="M141" s="471"/>
    </row>
    <row r="142" spans="1:17" ht="27.6">
      <c r="A142" s="483" t="s">
        <v>65</v>
      </c>
      <c r="B142" s="439" t="s">
        <v>734</v>
      </c>
      <c r="C142" s="567" t="s">
        <v>144</v>
      </c>
      <c r="D142" s="568">
        <v>9</v>
      </c>
      <c r="E142" s="568">
        <v>9</v>
      </c>
      <c r="F142" s="607">
        <v>9</v>
      </c>
      <c r="G142" s="569">
        <v>9</v>
      </c>
      <c r="H142" s="443">
        <f t="shared" si="56"/>
        <v>100</v>
      </c>
      <c r="I142" s="443">
        <f t="shared" si="57"/>
        <v>100</v>
      </c>
      <c r="J142" s="598" t="s">
        <v>751</v>
      </c>
      <c r="K142" s="528">
        <v>100</v>
      </c>
      <c r="L142" s="443">
        <f t="shared" si="58"/>
        <v>1111.1111111111111</v>
      </c>
      <c r="M142" s="471"/>
    </row>
    <row r="143" spans="1:17" ht="27" customHeight="1">
      <c r="A143" s="483" t="s">
        <v>65</v>
      </c>
      <c r="B143" s="570" t="s">
        <v>735</v>
      </c>
      <c r="C143" s="567" t="s">
        <v>16</v>
      </c>
      <c r="D143" s="569">
        <f t="shared" ref="D143:G143" si="73">D142/9%</f>
        <v>100</v>
      </c>
      <c r="E143" s="568">
        <f t="shared" si="73"/>
        <v>100</v>
      </c>
      <c r="F143" s="607">
        <f t="shared" ref="F143" si="74">F142/9%</f>
        <v>100</v>
      </c>
      <c r="G143" s="569">
        <f t="shared" si="73"/>
        <v>100</v>
      </c>
      <c r="H143" s="443">
        <f t="shared" si="56"/>
        <v>100</v>
      </c>
      <c r="I143" s="443">
        <f t="shared" si="57"/>
        <v>100</v>
      </c>
      <c r="J143" s="598" t="s">
        <v>751</v>
      </c>
      <c r="K143" s="541">
        <v>93.1</v>
      </c>
      <c r="L143" s="443">
        <f t="shared" si="58"/>
        <v>93.1</v>
      </c>
      <c r="M143" s="471"/>
    </row>
    <row r="144" spans="1:17" ht="27.6">
      <c r="A144" s="483" t="s">
        <v>65</v>
      </c>
      <c r="B144" s="571" t="s">
        <v>736</v>
      </c>
      <c r="C144" s="567" t="s">
        <v>16</v>
      </c>
      <c r="D144" s="572">
        <v>89.17</v>
      </c>
      <c r="E144" s="573">
        <v>95.87</v>
      </c>
      <c r="F144" s="608">
        <v>95.87</v>
      </c>
      <c r="G144" s="574">
        <v>95.87</v>
      </c>
      <c r="H144" s="443">
        <f t="shared" si="56"/>
        <v>107.51373780419424</v>
      </c>
      <c r="I144" s="443">
        <f t="shared" si="57"/>
        <v>100</v>
      </c>
      <c r="J144" s="598" t="s">
        <v>751</v>
      </c>
      <c r="K144" s="541">
        <v>96.21</v>
      </c>
      <c r="L144" s="443">
        <f t="shared" si="58"/>
        <v>100.35464691770105</v>
      </c>
      <c r="M144" s="471"/>
    </row>
    <row r="145" spans="1:13">
      <c r="A145" s="483" t="s">
        <v>65</v>
      </c>
      <c r="B145" s="571" t="s">
        <v>737</v>
      </c>
      <c r="C145" s="567" t="s">
        <v>16</v>
      </c>
      <c r="D145" s="572">
        <v>15.43</v>
      </c>
      <c r="E145" s="575">
        <v>15.7</v>
      </c>
      <c r="F145" s="609">
        <v>16.55</v>
      </c>
      <c r="G145" s="576">
        <v>16.55</v>
      </c>
      <c r="H145" s="443">
        <f t="shared" si="56"/>
        <v>107.25858716785484</v>
      </c>
      <c r="I145" s="443">
        <f t="shared" si="57"/>
        <v>105.4140127388535</v>
      </c>
      <c r="J145" s="598" t="s">
        <v>751</v>
      </c>
      <c r="K145" s="577">
        <v>15.87</v>
      </c>
      <c r="L145" s="443">
        <f t="shared" si="58"/>
        <v>95.891238670694861</v>
      </c>
      <c r="M145" s="471"/>
    </row>
    <row r="146" spans="1:13" ht="36.6" customHeight="1">
      <c r="A146" s="483" t="s">
        <v>65</v>
      </c>
      <c r="B146" s="571" t="s">
        <v>747</v>
      </c>
      <c r="C146" s="567" t="s">
        <v>16</v>
      </c>
      <c r="D146" s="572">
        <v>5.41</v>
      </c>
      <c r="E146" s="578">
        <v>5.77</v>
      </c>
      <c r="F146" s="610">
        <v>5.8</v>
      </c>
      <c r="G146" s="572">
        <v>5.8</v>
      </c>
      <c r="H146" s="443">
        <f t="shared" si="56"/>
        <v>107.20887245841034</v>
      </c>
      <c r="I146" s="443">
        <f t="shared" si="57"/>
        <v>100.51993067590989</v>
      </c>
      <c r="J146" s="598" t="s">
        <v>751</v>
      </c>
      <c r="K146" s="562">
        <v>5.84</v>
      </c>
      <c r="L146" s="443">
        <f t="shared" si="58"/>
        <v>100.68965517241379</v>
      </c>
      <c r="M146" s="471"/>
    </row>
    <row r="147" spans="1:13" ht="34.950000000000003" customHeight="1">
      <c r="A147" s="483" t="s">
        <v>65</v>
      </c>
      <c r="B147" s="571" t="s">
        <v>738</v>
      </c>
      <c r="C147" s="567" t="s">
        <v>16</v>
      </c>
      <c r="D147" s="572">
        <v>12.71</v>
      </c>
      <c r="E147" s="578">
        <v>8.7200000000000006</v>
      </c>
      <c r="F147" s="610">
        <v>10.42</v>
      </c>
      <c r="G147" s="572">
        <v>10.42</v>
      </c>
      <c r="H147" s="443">
        <f t="shared" si="56"/>
        <v>81.982690794649869</v>
      </c>
      <c r="I147" s="443">
        <f t="shared" si="57"/>
        <v>119.49541284403669</v>
      </c>
      <c r="J147" s="598" t="s">
        <v>751</v>
      </c>
      <c r="K147" s="562">
        <v>8.75</v>
      </c>
      <c r="L147" s="443">
        <f t="shared" si="58"/>
        <v>83.973128598848362</v>
      </c>
      <c r="M147" s="471"/>
    </row>
    <row r="148" spans="1:13">
      <c r="A148" s="421" t="s">
        <v>29</v>
      </c>
      <c r="B148" s="422" t="s">
        <v>712</v>
      </c>
      <c r="C148" s="423"/>
      <c r="D148" s="533"/>
      <c r="E148" s="526"/>
      <c r="F148" s="545"/>
      <c r="G148" s="527"/>
      <c r="H148" s="426"/>
      <c r="I148" s="426"/>
      <c r="J148" s="597"/>
      <c r="K148" s="528"/>
      <c r="L148" s="426"/>
      <c r="M148" s="471"/>
    </row>
    <row r="149" spans="1:13" ht="28.5" customHeight="1">
      <c r="A149" s="483" t="s">
        <v>65</v>
      </c>
      <c r="B149" s="517" t="s">
        <v>713</v>
      </c>
      <c r="C149" s="579" t="s">
        <v>16</v>
      </c>
      <c r="D149" s="533">
        <v>92</v>
      </c>
      <c r="E149" s="443">
        <v>91.5</v>
      </c>
      <c r="F149" s="545">
        <v>93.88</v>
      </c>
      <c r="G149" s="527">
        <v>93.88</v>
      </c>
      <c r="H149" s="443">
        <f t="shared" si="56"/>
        <v>102.04347826086956</v>
      </c>
      <c r="I149" s="443">
        <f t="shared" si="57"/>
        <v>102.60109289617485</v>
      </c>
      <c r="J149" s="598" t="s">
        <v>751</v>
      </c>
      <c r="K149" s="548">
        <v>91.5</v>
      </c>
      <c r="L149" s="443">
        <f t="shared" si="58"/>
        <v>97.464848743076274</v>
      </c>
      <c r="M149" s="471"/>
    </row>
    <row r="150" spans="1:13" ht="27.6">
      <c r="A150" s="483" t="s">
        <v>65</v>
      </c>
      <c r="B150" s="517" t="s">
        <v>714</v>
      </c>
      <c r="C150" s="579" t="s">
        <v>16</v>
      </c>
      <c r="D150" s="533">
        <v>100</v>
      </c>
      <c r="E150" s="443">
        <v>98</v>
      </c>
      <c r="F150" s="545">
        <v>98</v>
      </c>
      <c r="G150" s="527">
        <v>98</v>
      </c>
      <c r="H150" s="443">
        <f t="shared" si="56"/>
        <v>98</v>
      </c>
      <c r="I150" s="443">
        <f t="shared" si="57"/>
        <v>100</v>
      </c>
      <c r="J150" s="598" t="s">
        <v>751</v>
      </c>
      <c r="K150" s="548">
        <v>98</v>
      </c>
      <c r="L150" s="443">
        <f t="shared" si="58"/>
        <v>100</v>
      </c>
      <c r="M150" s="471"/>
    </row>
    <row r="151" spans="1:13">
      <c r="A151" s="483" t="s">
        <v>65</v>
      </c>
      <c r="B151" s="517" t="s">
        <v>715</v>
      </c>
      <c r="C151" s="579" t="s">
        <v>16</v>
      </c>
      <c r="D151" s="533">
        <v>100</v>
      </c>
      <c r="E151" s="443">
        <v>100</v>
      </c>
      <c r="F151" s="545">
        <v>100</v>
      </c>
      <c r="G151" s="527">
        <v>100</v>
      </c>
      <c r="H151" s="443">
        <f t="shared" si="56"/>
        <v>100</v>
      </c>
      <c r="I151" s="443">
        <f t="shared" si="57"/>
        <v>100</v>
      </c>
      <c r="J151" s="598" t="s">
        <v>751</v>
      </c>
      <c r="K151" s="548">
        <v>100</v>
      </c>
      <c r="L151" s="443">
        <f t="shared" si="58"/>
        <v>100</v>
      </c>
      <c r="M151" s="471"/>
    </row>
    <row r="152" spans="1:13" ht="22.5" customHeight="1">
      <c r="A152" s="483" t="s">
        <v>65</v>
      </c>
      <c r="B152" s="517" t="s">
        <v>704</v>
      </c>
      <c r="C152" s="538" t="s">
        <v>100</v>
      </c>
      <c r="D152" s="533">
        <v>95</v>
      </c>
      <c r="E152" s="441">
        <v>95</v>
      </c>
      <c r="F152" s="545">
        <v>95</v>
      </c>
      <c r="G152" s="527">
        <v>95</v>
      </c>
      <c r="H152" s="443">
        <f t="shared" si="56"/>
        <v>100</v>
      </c>
      <c r="I152" s="443">
        <f t="shared" si="57"/>
        <v>100</v>
      </c>
      <c r="J152" s="598" t="s">
        <v>751</v>
      </c>
      <c r="K152" s="444">
        <v>95</v>
      </c>
      <c r="L152" s="443">
        <f t="shared" si="58"/>
        <v>100</v>
      </c>
      <c r="M152" s="471"/>
    </row>
    <row r="153" spans="1:13" ht="31.5" customHeight="1">
      <c r="A153" s="483" t="s">
        <v>65</v>
      </c>
      <c r="B153" s="467" t="s">
        <v>585</v>
      </c>
      <c r="C153" s="466" t="s">
        <v>37</v>
      </c>
      <c r="D153" s="533">
        <v>9</v>
      </c>
      <c r="E153" s="441">
        <v>9</v>
      </c>
      <c r="F153" s="545">
        <v>9</v>
      </c>
      <c r="G153" s="527">
        <v>9</v>
      </c>
      <c r="H153" s="443">
        <f t="shared" ref="H153:H160" si="75">F153/D153%</f>
        <v>100</v>
      </c>
      <c r="I153" s="443">
        <f t="shared" ref="I153:I160" si="76">G153/E153%</f>
        <v>100</v>
      </c>
      <c r="J153" s="598" t="s">
        <v>751</v>
      </c>
      <c r="K153" s="444">
        <v>9</v>
      </c>
      <c r="L153" s="443">
        <f t="shared" ref="L153:L159" si="77">K153/G153%</f>
        <v>100</v>
      </c>
      <c r="M153" s="471"/>
    </row>
    <row r="154" spans="1:13" ht="31.5" customHeight="1">
      <c r="A154" s="483" t="s">
        <v>65</v>
      </c>
      <c r="B154" s="580" t="s">
        <v>88</v>
      </c>
      <c r="C154" s="440" t="s">
        <v>3</v>
      </c>
      <c r="D154" s="581">
        <v>1560</v>
      </c>
      <c r="E154" s="582">
        <v>1560</v>
      </c>
      <c r="F154" s="611">
        <v>1560</v>
      </c>
      <c r="G154" s="583">
        <v>1560</v>
      </c>
      <c r="H154" s="443">
        <f t="shared" si="75"/>
        <v>100</v>
      </c>
      <c r="I154" s="443">
        <f t="shared" si="76"/>
        <v>100</v>
      </c>
      <c r="J154" s="598" t="s">
        <v>751</v>
      </c>
      <c r="K154" s="584">
        <v>1560</v>
      </c>
      <c r="L154" s="443">
        <f t="shared" si="77"/>
        <v>100</v>
      </c>
      <c r="M154" s="585"/>
    </row>
    <row r="155" spans="1:13" ht="31.5" customHeight="1">
      <c r="A155" s="483" t="s">
        <v>65</v>
      </c>
      <c r="B155" s="580" t="s">
        <v>89</v>
      </c>
      <c r="C155" s="440" t="s">
        <v>3</v>
      </c>
      <c r="D155" s="586" t="s">
        <v>739</v>
      </c>
      <c r="E155" s="587"/>
      <c r="F155" s="612"/>
      <c r="G155" s="587"/>
      <c r="H155" s="426"/>
      <c r="I155" s="426"/>
      <c r="J155" s="602"/>
      <c r="K155" s="588"/>
      <c r="L155" s="426"/>
      <c r="M155" s="585"/>
    </row>
    <row r="156" spans="1:13">
      <c r="A156" s="421" t="s">
        <v>39</v>
      </c>
      <c r="B156" s="422" t="s">
        <v>716</v>
      </c>
      <c r="C156" s="589"/>
      <c r="D156" s="590"/>
      <c r="E156" s="591"/>
      <c r="F156" s="613"/>
      <c r="G156" s="592"/>
      <c r="H156" s="426"/>
      <c r="I156" s="426"/>
      <c r="J156" s="601"/>
      <c r="K156" s="584"/>
      <c r="L156" s="426"/>
      <c r="M156" s="585"/>
    </row>
    <row r="157" spans="1:13" ht="31.5" customHeight="1">
      <c r="A157" s="483" t="s">
        <v>65</v>
      </c>
      <c r="B157" s="517" t="s">
        <v>717</v>
      </c>
      <c r="C157" s="579" t="s">
        <v>16</v>
      </c>
      <c r="D157" s="533">
        <v>90.3</v>
      </c>
      <c r="E157" s="443">
        <v>90</v>
      </c>
      <c r="F157" s="545">
        <v>90.5</v>
      </c>
      <c r="G157" s="527">
        <v>90.5</v>
      </c>
      <c r="H157" s="443">
        <f t="shared" si="75"/>
        <v>100.22148394241417</v>
      </c>
      <c r="I157" s="443">
        <f t="shared" si="76"/>
        <v>100.55555555555556</v>
      </c>
      <c r="J157" s="598" t="s">
        <v>751</v>
      </c>
      <c r="K157" s="548">
        <v>90.5</v>
      </c>
      <c r="L157" s="443">
        <f t="shared" si="77"/>
        <v>100</v>
      </c>
      <c r="M157" s="471"/>
    </row>
    <row r="158" spans="1:13">
      <c r="A158" s="483" t="s">
        <v>65</v>
      </c>
      <c r="B158" s="517" t="s">
        <v>727</v>
      </c>
      <c r="C158" s="579" t="s">
        <v>16</v>
      </c>
      <c r="D158" s="533">
        <v>100</v>
      </c>
      <c r="E158" s="443">
        <v>100</v>
      </c>
      <c r="F158" s="545">
        <v>100</v>
      </c>
      <c r="G158" s="527">
        <v>100</v>
      </c>
      <c r="H158" s="443">
        <f t="shared" si="75"/>
        <v>100</v>
      </c>
      <c r="I158" s="443">
        <f t="shared" si="76"/>
        <v>100</v>
      </c>
      <c r="J158" s="598" t="s">
        <v>751</v>
      </c>
      <c r="K158" s="548">
        <v>100</v>
      </c>
      <c r="L158" s="443">
        <f t="shared" si="77"/>
        <v>100</v>
      </c>
      <c r="M158" s="471"/>
    </row>
    <row r="159" spans="1:13" ht="27.6">
      <c r="A159" s="483" t="s">
        <v>65</v>
      </c>
      <c r="B159" s="517" t="s">
        <v>718</v>
      </c>
      <c r="C159" s="579" t="s">
        <v>16</v>
      </c>
      <c r="D159" s="533">
        <v>100</v>
      </c>
      <c r="E159" s="443">
        <v>100</v>
      </c>
      <c r="F159" s="545">
        <v>100</v>
      </c>
      <c r="G159" s="527">
        <v>100</v>
      </c>
      <c r="H159" s="443">
        <f t="shared" si="75"/>
        <v>100</v>
      </c>
      <c r="I159" s="443">
        <f t="shared" si="76"/>
        <v>100</v>
      </c>
      <c r="J159" s="598" t="s">
        <v>751</v>
      </c>
      <c r="K159" s="548">
        <v>100</v>
      </c>
      <c r="L159" s="443">
        <f t="shared" si="77"/>
        <v>100</v>
      </c>
      <c r="M159" s="471"/>
    </row>
    <row r="160" spans="1:13" ht="41.4">
      <c r="A160" s="483" t="s">
        <v>65</v>
      </c>
      <c r="B160" s="593" t="s">
        <v>740</v>
      </c>
      <c r="C160" s="579" t="s">
        <v>16</v>
      </c>
      <c r="D160" s="616">
        <v>70</v>
      </c>
      <c r="E160" s="616">
        <v>70</v>
      </c>
      <c r="F160" s="617">
        <v>75</v>
      </c>
      <c r="G160" s="616">
        <v>75</v>
      </c>
      <c r="H160" s="443">
        <f t="shared" si="75"/>
        <v>107.14285714285715</v>
      </c>
      <c r="I160" s="443">
        <f t="shared" si="76"/>
        <v>107.14285714285715</v>
      </c>
      <c r="J160" s="598" t="s">
        <v>751</v>
      </c>
      <c r="K160" s="616" t="s">
        <v>741</v>
      </c>
      <c r="L160" s="426"/>
      <c r="M160" s="594"/>
    </row>
  </sheetData>
  <mergeCells count="13">
    <mergeCell ref="A1:M1"/>
    <mergeCell ref="A2:M2"/>
    <mergeCell ref="A3:M3"/>
    <mergeCell ref="A5:A6"/>
    <mergeCell ref="B5:B6"/>
    <mergeCell ref="C5:C6"/>
    <mergeCell ref="M5:M6"/>
    <mergeCell ref="E5:G5"/>
    <mergeCell ref="K5:K6"/>
    <mergeCell ref="D5:D6"/>
    <mergeCell ref="H5:I5"/>
    <mergeCell ref="J5:J6"/>
    <mergeCell ref="L5:L6"/>
  </mergeCells>
  <printOptions horizontalCentered="1"/>
  <pageMargins left="0.51181102362204722" right="0.31496062992125984" top="0.59055118110236227" bottom="0.59055118110236227" header="0.31496062992125984" footer="0.31496062992125984"/>
  <pageSetup paperSize="9" scale="83" fitToHeight="0" orientation="landscape" r:id="rId1"/>
  <headerFooter>
    <oddFooter>&amp;CTrang&amp;P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00FF"/>
    <pageSetUpPr fitToPage="1"/>
  </sheetPr>
  <dimension ref="A1:L80"/>
  <sheetViews>
    <sheetView zoomScale="70" zoomScaleNormal="70" workbookViewId="0">
      <pane xSplit="2" ySplit="7" topLeftCell="C53" activePane="bottomRight" state="frozen"/>
      <selection activeCell="D60" sqref="D60"/>
      <selection pane="topRight" activeCell="D60" sqref="D60"/>
      <selection pane="bottomLeft" activeCell="D60" sqref="D60"/>
      <selection pane="bottomRight" activeCell="D60" sqref="D60"/>
    </sheetView>
  </sheetViews>
  <sheetFormatPr defaultColWidth="10.33203125" defaultRowHeight="13.2" outlineLevelRow="1"/>
  <cols>
    <col min="1" max="1" width="5.5546875" style="153" customWidth="1"/>
    <col min="2" max="2" width="41.109375" style="153" customWidth="1"/>
    <col min="3" max="10" width="13.6640625" style="153" customWidth="1"/>
    <col min="11" max="16384" width="10.33203125" style="153"/>
  </cols>
  <sheetData>
    <row r="1" spans="1:12" ht="17.399999999999999" outlineLevel="1">
      <c r="A1" s="150"/>
      <c r="B1" s="151"/>
      <c r="C1" s="151"/>
      <c r="D1" s="151"/>
      <c r="E1" s="151"/>
      <c r="F1" s="151"/>
      <c r="G1" s="151"/>
      <c r="H1" s="169"/>
      <c r="I1" s="169"/>
      <c r="J1" s="152" t="s">
        <v>272</v>
      </c>
    </row>
    <row r="2" spans="1:12" ht="16.8" outlineLevel="1">
      <c r="A2" s="673" t="s">
        <v>330</v>
      </c>
      <c r="B2" s="673"/>
      <c r="C2" s="673"/>
      <c r="D2" s="673"/>
      <c r="E2" s="673"/>
      <c r="F2" s="673"/>
      <c r="G2" s="673"/>
      <c r="H2" s="673"/>
      <c r="I2" s="673"/>
      <c r="J2" s="673"/>
    </row>
    <row r="3" spans="1:12" ht="16.8" outlineLevel="1">
      <c r="A3" s="673" t="s">
        <v>331</v>
      </c>
      <c r="B3" s="673"/>
      <c r="C3" s="673"/>
      <c r="D3" s="673"/>
      <c r="E3" s="673"/>
      <c r="F3" s="673"/>
      <c r="G3" s="673"/>
      <c r="H3" s="673"/>
      <c r="I3" s="673"/>
      <c r="J3" s="673"/>
    </row>
    <row r="4" spans="1:12" outlineLevel="1"/>
    <row r="5" spans="1:12" s="154" customFormat="1" ht="26.25" customHeight="1">
      <c r="A5" s="654" t="s">
        <v>275</v>
      </c>
      <c r="B5" s="654" t="s">
        <v>42</v>
      </c>
      <c r="C5" s="654" t="s">
        <v>276</v>
      </c>
      <c r="D5" s="654" t="s">
        <v>277</v>
      </c>
      <c r="E5" s="654" t="s">
        <v>265</v>
      </c>
      <c r="F5" s="654"/>
      <c r="G5" s="654"/>
      <c r="H5" s="654"/>
      <c r="I5" s="654" t="s">
        <v>267</v>
      </c>
      <c r="J5" s="654" t="s">
        <v>269</v>
      </c>
    </row>
    <row r="6" spans="1:12" s="154" customFormat="1" ht="62.4">
      <c r="A6" s="654"/>
      <c r="B6" s="654"/>
      <c r="C6" s="654"/>
      <c r="D6" s="654"/>
      <c r="E6" s="7" t="s">
        <v>221</v>
      </c>
      <c r="F6" s="7" t="s">
        <v>474</v>
      </c>
      <c r="G6" s="7" t="s">
        <v>266</v>
      </c>
      <c r="H6" s="7" t="s">
        <v>268</v>
      </c>
      <c r="I6" s="654"/>
      <c r="J6" s="654"/>
    </row>
    <row r="7" spans="1:12" s="151" customFormat="1" ht="19.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 t="s">
        <v>231</v>
      </c>
      <c r="I7" s="7">
        <v>9</v>
      </c>
      <c r="J7" s="7" t="s">
        <v>270</v>
      </c>
    </row>
    <row r="8" spans="1:12" s="151" customFormat="1" ht="24.9" customHeight="1">
      <c r="A8" s="165" t="s">
        <v>21</v>
      </c>
      <c r="B8" s="166" t="s">
        <v>332</v>
      </c>
      <c r="C8" s="64"/>
      <c r="D8" s="223"/>
      <c r="E8" s="223"/>
      <c r="F8" s="223"/>
      <c r="G8" s="223"/>
      <c r="H8" s="223"/>
      <c r="I8" s="223"/>
      <c r="J8" s="223"/>
    </row>
    <row r="9" spans="1:12" s="79" customFormat="1" ht="24.9" customHeight="1">
      <c r="A9" s="16" t="s">
        <v>65</v>
      </c>
      <c r="B9" s="17" t="s">
        <v>44</v>
      </c>
      <c r="C9" s="1" t="s">
        <v>45</v>
      </c>
      <c r="D9" s="213" t="e">
        <f>#REF!</f>
        <v>#REF!</v>
      </c>
      <c r="E9" s="213" t="e">
        <f>#REF!</f>
        <v>#REF!</v>
      </c>
      <c r="F9" s="213" t="e">
        <f>#REF!</f>
        <v>#REF!</v>
      </c>
      <c r="G9" s="213" t="e">
        <f>#REF!</f>
        <v>#REF!</v>
      </c>
      <c r="H9" s="48" t="str">
        <f t="shared" ref="H9:H74" si="0">IFERROR(G9/D9%,"")</f>
        <v/>
      </c>
      <c r="I9" s="213" t="e">
        <f>#REF!</f>
        <v>#REF!</v>
      </c>
      <c r="J9" s="48" t="str">
        <f t="shared" ref="J9:J74" si="1">IFERROR(I9/G9%,"")</f>
        <v/>
      </c>
      <c r="L9" s="227"/>
    </row>
    <row r="10" spans="1:12" s="79" customFormat="1" ht="21" customHeight="1">
      <c r="A10" s="1"/>
      <c r="B10" s="170" t="s">
        <v>333</v>
      </c>
      <c r="C10" s="1" t="s">
        <v>45</v>
      </c>
      <c r="D10" s="213" t="e">
        <f>D9-14505</f>
        <v>#REF!</v>
      </c>
      <c r="E10" s="213" t="e">
        <f>E9*68%</f>
        <v>#REF!</v>
      </c>
      <c r="F10" s="213" t="e">
        <f t="shared" ref="F10:I10" si="2">F9*68%</f>
        <v>#REF!</v>
      </c>
      <c r="G10" s="213" t="e">
        <f t="shared" si="2"/>
        <v>#REF!</v>
      </c>
      <c r="H10" s="48" t="str">
        <f t="shared" si="0"/>
        <v/>
      </c>
      <c r="I10" s="213" t="e">
        <f t="shared" si="2"/>
        <v>#REF!</v>
      </c>
      <c r="J10" s="48" t="str">
        <f t="shared" si="1"/>
        <v/>
      </c>
    </row>
    <row r="11" spans="1:12" s="79" customFormat="1" ht="23.25" customHeight="1">
      <c r="A11" s="1"/>
      <c r="B11" s="170" t="s">
        <v>334</v>
      </c>
      <c r="C11" s="1" t="s">
        <v>45</v>
      </c>
      <c r="D11" s="213"/>
      <c r="E11" s="213"/>
      <c r="F11" s="213"/>
      <c r="G11" s="213"/>
      <c r="H11" s="48" t="str">
        <f t="shared" si="0"/>
        <v/>
      </c>
      <c r="I11" s="213"/>
      <c r="J11" s="48" t="str">
        <f t="shared" si="1"/>
        <v/>
      </c>
    </row>
    <row r="12" spans="1:12" s="159" customFormat="1" ht="24.9" customHeight="1">
      <c r="A12" s="16" t="s">
        <v>65</v>
      </c>
      <c r="B12" s="17" t="s">
        <v>335</v>
      </c>
      <c r="C12" s="156" t="s">
        <v>336</v>
      </c>
      <c r="D12" s="49"/>
      <c r="E12" s="72"/>
      <c r="F12" s="72"/>
      <c r="G12" s="72"/>
      <c r="H12" s="48" t="str">
        <f t="shared" si="0"/>
        <v/>
      </c>
      <c r="I12" s="72"/>
      <c r="J12" s="48" t="str">
        <f t="shared" si="1"/>
        <v/>
      </c>
    </row>
    <row r="13" spans="1:12" s="159" customFormat="1" ht="31.2">
      <c r="A13" s="16" t="s">
        <v>65</v>
      </c>
      <c r="B13" s="17" t="s">
        <v>337</v>
      </c>
      <c r="C13" s="199" t="s">
        <v>338</v>
      </c>
      <c r="D13" s="72"/>
      <c r="E13" s="72"/>
      <c r="F13" s="72"/>
      <c r="G13" s="72"/>
      <c r="H13" s="48" t="str">
        <f t="shared" si="0"/>
        <v/>
      </c>
      <c r="I13" s="72"/>
      <c r="J13" s="48" t="str">
        <f t="shared" si="1"/>
        <v/>
      </c>
    </row>
    <row r="14" spans="1:12" s="151" customFormat="1" ht="20.399999999999999" customHeight="1">
      <c r="A14" s="8" t="s">
        <v>22</v>
      </c>
      <c r="B14" s="12" t="s">
        <v>339</v>
      </c>
      <c r="C14" s="8"/>
      <c r="D14" s="47"/>
      <c r="E14" s="47"/>
      <c r="F14" s="47"/>
      <c r="G14" s="47"/>
      <c r="H14" s="48" t="str">
        <f t="shared" si="0"/>
        <v/>
      </c>
      <c r="I14" s="47"/>
      <c r="J14" s="48" t="str">
        <f t="shared" si="1"/>
        <v/>
      </c>
    </row>
    <row r="15" spans="1:12" ht="23.25" customHeight="1">
      <c r="A15" s="173" t="s">
        <v>65</v>
      </c>
      <c r="B15" s="17" t="s">
        <v>340</v>
      </c>
      <c r="C15" s="1" t="s">
        <v>45</v>
      </c>
      <c r="D15" s="248">
        <v>23392</v>
      </c>
      <c r="E15" s="49">
        <v>26800</v>
      </c>
      <c r="F15" s="49">
        <v>26828</v>
      </c>
      <c r="G15" s="49">
        <v>26850</v>
      </c>
      <c r="H15" s="48">
        <f t="shared" si="0"/>
        <v>114.7828317373461</v>
      </c>
      <c r="I15" s="49">
        <v>27500</v>
      </c>
      <c r="J15" s="48">
        <f t="shared" si="1"/>
        <v>102.42085661080074</v>
      </c>
    </row>
    <row r="16" spans="1:12" ht="34.5" customHeight="1">
      <c r="A16" s="173" t="s">
        <v>65</v>
      </c>
      <c r="B16" s="17" t="s">
        <v>341</v>
      </c>
      <c r="C16" s="1" t="s">
        <v>45</v>
      </c>
      <c r="D16" s="49">
        <v>71</v>
      </c>
      <c r="E16" s="49">
        <v>10</v>
      </c>
      <c r="F16" s="49">
        <v>4</v>
      </c>
      <c r="G16" s="49">
        <v>10</v>
      </c>
      <c r="H16" s="48">
        <f t="shared" si="0"/>
        <v>14.084507042253522</v>
      </c>
      <c r="I16" s="49">
        <v>10</v>
      </c>
      <c r="J16" s="48">
        <f t="shared" si="1"/>
        <v>100</v>
      </c>
    </row>
    <row r="17" spans="1:10" ht="33.75" customHeight="1">
      <c r="A17" s="173" t="s">
        <v>65</v>
      </c>
      <c r="B17" s="17" t="s">
        <v>111</v>
      </c>
      <c r="C17" s="156" t="s">
        <v>16</v>
      </c>
      <c r="D17" s="211" t="e">
        <f>#REF!</f>
        <v>#REF!</v>
      </c>
      <c r="E17" s="211" t="e">
        <f>#REF!</f>
        <v>#REF!</v>
      </c>
      <c r="F17" s="211" t="e">
        <f>#REF!</f>
        <v>#REF!</v>
      </c>
      <c r="G17" s="211" t="e">
        <f>#REF!</f>
        <v>#REF!</v>
      </c>
      <c r="H17" s="48" t="str">
        <f t="shared" si="0"/>
        <v/>
      </c>
      <c r="I17" s="211" t="e">
        <f>#REF!</f>
        <v>#REF!</v>
      </c>
      <c r="J17" s="48" t="str">
        <f t="shared" si="1"/>
        <v/>
      </c>
    </row>
    <row r="18" spans="1:10" s="151" customFormat="1" ht="42" customHeight="1">
      <c r="A18" s="8" t="s">
        <v>25</v>
      </c>
      <c r="B18" s="12" t="s">
        <v>456</v>
      </c>
      <c r="C18" s="8"/>
      <c r="D18" s="224"/>
      <c r="E18" s="224"/>
      <c r="F18" s="224"/>
      <c r="G18" s="224"/>
      <c r="H18" s="48" t="str">
        <f t="shared" si="0"/>
        <v/>
      </c>
      <c r="I18" s="224"/>
      <c r="J18" s="48" t="str">
        <f t="shared" si="1"/>
        <v/>
      </c>
    </row>
    <row r="19" spans="1:10" s="159" customFormat="1" ht="24.9" customHeight="1">
      <c r="A19" s="16" t="s">
        <v>65</v>
      </c>
      <c r="B19" s="17" t="s">
        <v>465</v>
      </c>
      <c r="C19" s="1" t="s">
        <v>38</v>
      </c>
      <c r="D19" s="213" t="e">
        <f>#REF!</f>
        <v>#REF!</v>
      </c>
      <c r="E19" s="213" t="e">
        <f>#REF!</f>
        <v>#REF!</v>
      </c>
      <c r="F19" s="213" t="e">
        <f>#REF!</f>
        <v>#REF!</v>
      </c>
      <c r="G19" s="213" t="e">
        <f>#REF!</f>
        <v>#REF!</v>
      </c>
      <c r="H19" s="48" t="str">
        <f t="shared" si="0"/>
        <v/>
      </c>
      <c r="I19" s="213" t="e">
        <f>#REF!</f>
        <v>#REF!</v>
      </c>
      <c r="J19" s="48" t="str">
        <f t="shared" si="1"/>
        <v/>
      </c>
    </row>
    <row r="20" spans="1:10" s="171" customFormat="1" ht="24.9" customHeight="1">
      <c r="A20" s="200" t="s">
        <v>65</v>
      </c>
      <c r="B20" s="201" t="s">
        <v>342</v>
      </c>
      <c r="C20" s="1" t="s">
        <v>38</v>
      </c>
      <c r="D20" s="49">
        <v>1599</v>
      </c>
      <c r="E20" s="49" t="e">
        <f>E19*E21%</f>
        <v>#REF!</v>
      </c>
      <c r="F20" s="49" t="e">
        <f t="shared" ref="F20:I20" si="3">F19*F21%</f>
        <v>#REF!</v>
      </c>
      <c r="G20" s="49" t="e">
        <f t="shared" si="3"/>
        <v>#REF!</v>
      </c>
      <c r="H20" s="48" t="str">
        <f t="shared" si="0"/>
        <v/>
      </c>
      <c r="I20" s="49" t="e">
        <f t="shared" si="3"/>
        <v>#REF!</v>
      </c>
      <c r="J20" s="48" t="str">
        <f t="shared" si="1"/>
        <v/>
      </c>
    </row>
    <row r="21" spans="1:10" s="171" customFormat="1" ht="24.9" customHeight="1">
      <c r="A21" s="200" t="s">
        <v>65</v>
      </c>
      <c r="B21" s="201" t="s">
        <v>163</v>
      </c>
      <c r="C21" s="50" t="s">
        <v>16</v>
      </c>
      <c r="D21" s="48" t="e">
        <f>#REF!</f>
        <v>#REF!</v>
      </c>
      <c r="E21" s="48" t="e">
        <f>#REF!</f>
        <v>#REF!</v>
      </c>
      <c r="F21" s="48" t="e">
        <f>#REF!</f>
        <v>#REF!</v>
      </c>
      <c r="G21" s="48" t="e">
        <f>#REF!</f>
        <v>#REF!</v>
      </c>
      <c r="H21" s="48" t="str">
        <f t="shared" si="0"/>
        <v/>
      </c>
      <c r="I21" s="48" t="e">
        <f>#REF!</f>
        <v>#REF!</v>
      </c>
      <c r="J21" s="48" t="str">
        <f t="shared" si="1"/>
        <v/>
      </c>
    </row>
    <row r="22" spans="1:10" s="171" customFormat="1" ht="24.9" hidden="1" customHeight="1" outlineLevel="1">
      <c r="A22" s="200" t="s">
        <v>65</v>
      </c>
      <c r="B22" s="202" t="s">
        <v>343</v>
      </c>
      <c r="C22" s="50" t="s">
        <v>38</v>
      </c>
      <c r="D22" s="49"/>
      <c r="E22" s="49"/>
      <c r="F22" s="49"/>
      <c r="G22" s="49"/>
      <c r="H22" s="48" t="str">
        <f t="shared" si="0"/>
        <v/>
      </c>
      <c r="I22" s="49"/>
      <c r="J22" s="48" t="str">
        <f t="shared" si="1"/>
        <v/>
      </c>
    </row>
    <row r="23" spans="1:10" s="171" customFormat="1" ht="24.9" customHeight="1" collapsed="1">
      <c r="A23" s="200" t="s">
        <v>65</v>
      </c>
      <c r="B23" s="201" t="s">
        <v>344</v>
      </c>
      <c r="C23" s="50" t="s">
        <v>16</v>
      </c>
      <c r="D23" s="48" t="e">
        <f>#REF!</f>
        <v>#REF!</v>
      </c>
      <c r="E23" s="48" t="e">
        <f>#REF!</f>
        <v>#REF!</v>
      </c>
      <c r="F23" s="48" t="e">
        <f>#REF!</f>
        <v>#REF!</v>
      </c>
      <c r="G23" s="48" t="e">
        <f>#REF!</f>
        <v>#REF!</v>
      </c>
      <c r="H23" s="48" t="str">
        <f t="shared" si="0"/>
        <v/>
      </c>
      <c r="I23" s="48" t="e">
        <f>#REF!</f>
        <v>#REF!</v>
      </c>
      <c r="J23" s="48" t="str">
        <f t="shared" si="1"/>
        <v/>
      </c>
    </row>
    <row r="24" spans="1:10" s="171" customFormat="1" ht="24.9" customHeight="1">
      <c r="A24" s="200" t="s">
        <v>65</v>
      </c>
      <c r="B24" s="201" t="s">
        <v>345</v>
      </c>
      <c r="C24" s="1" t="s">
        <v>38</v>
      </c>
      <c r="D24" s="49">
        <v>880</v>
      </c>
      <c r="E24" s="49"/>
      <c r="F24" s="49"/>
      <c r="G24" s="49"/>
      <c r="H24" s="48">
        <f t="shared" si="0"/>
        <v>0</v>
      </c>
      <c r="I24" s="49"/>
      <c r="J24" s="48" t="str">
        <f t="shared" si="1"/>
        <v/>
      </c>
    </row>
    <row r="25" spans="1:10" s="171" customFormat="1" ht="24.9" customHeight="1">
      <c r="A25" s="200" t="s">
        <v>65</v>
      </c>
      <c r="B25" s="201" t="s">
        <v>346</v>
      </c>
      <c r="C25" s="50" t="s">
        <v>16</v>
      </c>
      <c r="D25" s="48">
        <v>7.78</v>
      </c>
      <c r="E25" s="49"/>
      <c r="F25" s="49"/>
      <c r="G25" s="49"/>
      <c r="H25" s="48">
        <f t="shared" si="0"/>
        <v>0</v>
      </c>
      <c r="I25" s="49"/>
      <c r="J25" s="48" t="str">
        <f t="shared" si="1"/>
        <v/>
      </c>
    </row>
    <row r="26" spans="1:10" s="171" customFormat="1" ht="24.9" customHeight="1">
      <c r="A26" s="200" t="s">
        <v>65</v>
      </c>
      <c r="B26" s="201" t="s">
        <v>347</v>
      </c>
      <c r="C26" s="1" t="s">
        <v>38</v>
      </c>
      <c r="D26" s="49">
        <v>411</v>
      </c>
      <c r="E26" s="49" t="e">
        <f>D20-E20</f>
        <v>#REF!</v>
      </c>
      <c r="F26" s="49"/>
      <c r="G26" s="49" t="e">
        <f>D20-G20</f>
        <v>#REF!</v>
      </c>
      <c r="H26" s="48" t="str">
        <f t="shared" si="0"/>
        <v/>
      </c>
      <c r="I26" s="49" t="e">
        <f>G20-I20</f>
        <v>#REF!</v>
      </c>
      <c r="J26" s="48" t="str">
        <f t="shared" si="1"/>
        <v/>
      </c>
    </row>
    <row r="27" spans="1:10" s="171" customFormat="1" ht="24.9" customHeight="1">
      <c r="A27" s="200" t="s">
        <v>65</v>
      </c>
      <c r="B27" s="201" t="s">
        <v>348</v>
      </c>
      <c r="C27" s="1" t="s">
        <v>38</v>
      </c>
      <c r="D27" s="49"/>
      <c r="E27" s="49"/>
      <c r="F27" s="49"/>
      <c r="G27" s="49"/>
      <c r="H27" s="48" t="str">
        <f t="shared" si="0"/>
        <v/>
      </c>
      <c r="I27" s="49"/>
      <c r="J27" s="48" t="str">
        <f t="shared" si="1"/>
        <v/>
      </c>
    </row>
    <row r="28" spans="1:10" s="151" customFormat="1" ht="39.9" customHeight="1">
      <c r="A28" s="8" t="s">
        <v>26</v>
      </c>
      <c r="B28" s="12" t="s">
        <v>349</v>
      </c>
      <c r="C28" s="167"/>
      <c r="D28" s="224"/>
      <c r="E28" s="224"/>
      <c r="F28" s="224"/>
      <c r="G28" s="224"/>
      <c r="H28" s="48" t="str">
        <f t="shared" si="0"/>
        <v/>
      </c>
      <c r="I28" s="224"/>
      <c r="J28" s="48" t="str">
        <f t="shared" si="1"/>
        <v/>
      </c>
    </row>
    <row r="29" spans="1:10" s="79" customFormat="1" ht="24.9" customHeight="1">
      <c r="A29" s="173" t="s">
        <v>65</v>
      </c>
      <c r="B29" s="17" t="s">
        <v>460</v>
      </c>
      <c r="C29" s="156" t="s">
        <v>37</v>
      </c>
      <c r="D29" s="213">
        <v>9</v>
      </c>
      <c r="E29" s="213">
        <v>9</v>
      </c>
      <c r="F29" s="213">
        <v>9</v>
      </c>
      <c r="G29" s="213">
        <v>9</v>
      </c>
      <c r="H29" s="48">
        <f t="shared" si="0"/>
        <v>100</v>
      </c>
      <c r="I29" s="213">
        <v>9</v>
      </c>
      <c r="J29" s="48">
        <f t="shared" si="1"/>
        <v>100</v>
      </c>
    </row>
    <row r="30" spans="1:10" ht="24.9" customHeight="1">
      <c r="A30" s="156"/>
      <c r="B30" s="27" t="s">
        <v>43</v>
      </c>
      <c r="C30" s="156"/>
      <c r="D30" s="213"/>
      <c r="E30" s="213"/>
      <c r="F30" s="213"/>
      <c r="G30" s="213"/>
      <c r="H30" s="48" t="str">
        <f t="shared" si="0"/>
        <v/>
      </c>
      <c r="I30" s="213"/>
      <c r="J30" s="48" t="str">
        <f t="shared" si="1"/>
        <v/>
      </c>
    </row>
    <row r="31" spans="1:10" s="79" customFormat="1" ht="39.9" customHeight="1">
      <c r="A31" s="156"/>
      <c r="B31" s="29" t="s">
        <v>350</v>
      </c>
      <c r="C31" s="156" t="s">
        <v>37</v>
      </c>
      <c r="D31" s="49">
        <v>4</v>
      </c>
      <c r="E31" s="49">
        <v>4</v>
      </c>
      <c r="F31" s="49">
        <v>4</v>
      </c>
      <c r="G31" s="49">
        <v>4</v>
      </c>
      <c r="H31" s="48">
        <f t="shared" si="0"/>
        <v>100</v>
      </c>
      <c r="I31" s="49">
        <v>4</v>
      </c>
      <c r="J31" s="48">
        <f t="shared" si="1"/>
        <v>100</v>
      </c>
    </row>
    <row r="32" spans="1:10" s="79" customFormat="1" ht="24" customHeight="1">
      <c r="A32" s="156"/>
      <c r="B32" s="29" t="s">
        <v>351</v>
      </c>
      <c r="C32" s="156"/>
      <c r="D32" s="49"/>
      <c r="E32" s="49"/>
      <c r="F32" s="49"/>
      <c r="G32" s="49"/>
      <c r="H32" s="48" t="str">
        <f t="shared" si="0"/>
        <v/>
      </c>
      <c r="I32" s="49"/>
      <c r="J32" s="48" t="str">
        <f t="shared" si="1"/>
        <v/>
      </c>
    </row>
    <row r="33" spans="1:10" s="79" customFormat="1" ht="22.5" customHeight="1">
      <c r="A33" s="156"/>
      <c r="B33" s="29" t="s">
        <v>352</v>
      </c>
      <c r="C33" s="156"/>
      <c r="D33" s="49"/>
      <c r="E33" s="49"/>
      <c r="F33" s="49"/>
      <c r="G33" s="49"/>
      <c r="H33" s="48" t="str">
        <f t="shared" si="0"/>
        <v/>
      </c>
      <c r="I33" s="49"/>
      <c r="J33" s="48" t="str">
        <f t="shared" si="1"/>
        <v/>
      </c>
    </row>
    <row r="34" spans="1:10" s="79" customFormat="1" ht="24.9" customHeight="1">
      <c r="A34" s="156"/>
      <c r="B34" s="29" t="s">
        <v>353</v>
      </c>
      <c r="C34" s="156" t="s">
        <v>37</v>
      </c>
      <c r="D34" s="213">
        <v>9</v>
      </c>
      <c r="E34" s="213">
        <v>9</v>
      </c>
      <c r="F34" s="213">
        <v>9</v>
      </c>
      <c r="G34" s="213">
        <v>9</v>
      </c>
      <c r="H34" s="48">
        <f t="shared" si="0"/>
        <v>100</v>
      </c>
      <c r="I34" s="213">
        <v>9</v>
      </c>
      <c r="J34" s="48">
        <f t="shared" si="1"/>
        <v>100</v>
      </c>
    </row>
    <row r="35" spans="1:10" s="79" customFormat="1" ht="24.9" customHeight="1">
      <c r="A35" s="156"/>
      <c r="B35" s="29" t="s">
        <v>354</v>
      </c>
      <c r="C35" s="156" t="s">
        <v>16</v>
      </c>
      <c r="D35" s="213">
        <f>D34/9%</f>
        <v>100</v>
      </c>
      <c r="E35" s="213">
        <f t="shared" ref="E35:I35" si="4">E34/9%</f>
        <v>100</v>
      </c>
      <c r="F35" s="213">
        <f t="shared" si="4"/>
        <v>100</v>
      </c>
      <c r="G35" s="213">
        <f t="shared" si="4"/>
        <v>100</v>
      </c>
      <c r="H35" s="48">
        <f t="shared" si="0"/>
        <v>100</v>
      </c>
      <c r="I35" s="213">
        <f t="shared" si="4"/>
        <v>100</v>
      </c>
      <c r="J35" s="48">
        <f t="shared" si="1"/>
        <v>100</v>
      </c>
    </row>
    <row r="36" spans="1:10" s="79" customFormat="1" ht="24.9" customHeight="1">
      <c r="A36" s="156"/>
      <c r="B36" s="29" t="s">
        <v>355</v>
      </c>
      <c r="C36" s="156" t="s">
        <v>37</v>
      </c>
      <c r="D36" s="213">
        <v>9</v>
      </c>
      <c r="E36" s="213">
        <v>9</v>
      </c>
      <c r="F36" s="213">
        <v>9</v>
      </c>
      <c r="G36" s="213">
        <v>9</v>
      </c>
      <c r="H36" s="48">
        <f t="shared" si="0"/>
        <v>100</v>
      </c>
      <c r="I36" s="213">
        <v>9</v>
      </c>
      <c r="J36" s="48">
        <f t="shared" si="1"/>
        <v>100</v>
      </c>
    </row>
    <row r="37" spans="1:10" s="79" customFormat="1" ht="24.9" customHeight="1">
      <c r="A37" s="156"/>
      <c r="B37" s="29" t="s">
        <v>356</v>
      </c>
      <c r="C37" s="156" t="s">
        <v>16</v>
      </c>
      <c r="D37" s="213">
        <f>D36/9%</f>
        <v>100</v>
      </c>
      <c r="E37" s="213">
        <f t="shared" ref="E37:G37" si="5">E36/9%</f>
        <v>100</v>
      </c>
      <c r="F37" s="213">
        <f t="shared" si="5"/>
        <v>100</v>
      </c>
      <c r="G37" s="213">
        <f t="shared" si="5"/>
        <v>100</v>
      </c>
      <c r="H37" s="48">
        <f t="shared" si="0"/>
        <v>100</v>
      </c>
      <c r="I37" s="213">
        <f>I36/9%</f>
        <v>100</v>
      </c>
      <c r="J37" s="48">
        <f t="shared" si="1"/>
        <v>100</v>
      </c>
    </row>
    <row r="38" spans="1:10" s="216" customFormat="1" ht="31.5" customHeight="1">
      <c r="A38" s="156"/>
      <c r="B38" s="29" t="s">
        <v>357</v>
      </c>
      <c r="C38" s="156" t="s">
        <v>358</v>
      </c>
      <c r="D38" s="213">
        <v>4</v>
      </c>
      <c r="E38" s="213">
        <v>4</v>
      </c>
      <c r="F38" s="213">
        <v>4</v>
      </c>
      <c r="G38" s="213">
        <v>4</v>
      </c>
      <c r="H38" s="48">
        <f t="shared" si="0"/>
        <v>100</v>
      </c>
      <c r="I38" s="213">
        <v>5</v>
      </c>
      <c r="J38" s="48">
        <f t="shared" si="1"/>
        <v>125</v>
      </c>
    </row>
    <row r="39" spans="1:10" s="79" customFormat="1" ht="24.9" customHeight="1">
      <c r="A39" s="156"/>
      <c r="B39" s="29" t="s">
        <v>359</v>
      </c>
      <c r="C39" s="156" t="s">
        <v>37</v>
      </c>
      <c r="D39" s="213">
        <v>6</v>
      </c>
      <c r="E39" s="213">
        <v>6</v>
      </c>
      <c r="F39" s="213">
        <v>6</v>
      </c>
      <c r="G39" s="213">
        <v>6</v>
      </c>
      <c r="H39" s="48">
        <f t="shared" si="0"/>
        <v>100</v>
      </c>
      <c r="I39" s="213">
        <v>6</v>
      </c>
      <c r="J39" s="48">
        <f t="shared" si="1"/>
        <v>100</v>
      </c>
    </row>
    <row r="40" spans="1:10" s="216" customFormat="1" ht="24.9" customHeight="1">
      <c r="A40" s="156"/>
      <c r="B40" s="29" t="s">
        <v>360</v>
      </c>
      <c r="C40" s="156" t="s">
        <v>16</v>
      </c>
      <c r="D40" s="213">
        <f>D39/9%</f>
        <v>66.666666666666671</v>
      </c>
      <c r="E40" s="213">
        <f t="shared" ref="E40:I40" si="6">E39/9%</f>
        <v>66.666666666666671</v>
      </c>
      <c r="F40" s="213">
        <f t="shared" si="6"/>
        <v>66.666666666666671</v>
      </c>
      <c r="G40" s="213">
        <f t="shared" si="6"/>
        <v>66.666666666666671</v>
      </c>
      <c r="H40" s="48">
        <f t="shared" si="0"/>
        <v>100</v>
      </c>
      <c r="I40" s="213">
        <f t="shared" si="6"/>
        <v>66.666666666666671</v>
      </c>
      <c r="J40" s="48">
        <f t="shared" si="1"/>
        <v>100</v>
      </c>
    </row>
    <row r="41" spans="1:10" s="216" customFormat="1" ht="24.9" customHeight="1">
      <c r="A41" s="156"/>
      <c r="B41" s="29" t="s">
        <v>361</v>
      </c>
      <c r="C41" s="156" t="s">
        <v>323</v>
      </c>
      <c r="D41" s="49">
        <v>1</v>
      </c>
      <c r="E41" s="49">
        <v>1</v>
      </c>
      <c r="F41" s="49">
        <v>1</v>
      </c>
      <c r="G41" s="49">
        <v>1</v>
      </c>
      <c r="H41" s="48">
        <f t="shared" si="0"/>
        <v>100</v>
      </c>
      <c r="I41" s="49">
        <v>1</v>
      </c>
      <c r="J41" s="48">
        <f t="shared" si="1"/>
        <v>100</v>
      </c>
    </row>
    <row r="42" spans="1:10" s="216" customFormat="1" ht="24.9" customHeight="1">
      <c r="A42" s="156"/>
      <c r="B42" s="29" t="s">
        <v>362</v>
      </c>
      <c r="C42" s="156" t="s">
        <v>16</v>
      </c>
      <c r="D42" s="49">
        <f>D41/9%</f>
        <v>11.111111111111111</v>
      </c>
      <c r="E42" s="49">
        <f t="shared" ref="E42:I42" si="7">E41/9%</f>
        <v>11.111111111111111</v>
      </c>
      <c r="F42" s="49">
        <f t="shared" si="7"/>
        <v>11.111111111111111</v>
      </c>
      <c r="G42" s="49">
        <f t="shared" si="7"/>
        <v>11.111111111111111</v>
      </c>
      <c r="H42" s="48">
        <f t="shared" si="0"/>
        <v>100</v>
      </c>
      <c r="I42" s="49">
        <f t="shared" si="7"/>
        <v>11.111111111111111</v>
      </c>
      <c r="J42" s="48">
        <f t="shared" si="1"/>
        <v>100</v>
      </c>
    </row>
    <row r="43" spans="1:10" s="79" customFormat="1" ht="24.9" customHeight="1">
      <c r="A43" s="173" t="s">
        <v>65</v>
      </c>
      <c r="B43" s="17" t="s">
        <v>363</v>
      </c>
      <c r="C43" s="156" t="s">
        <v>38</v>
      </c>
      <c r="D43" s="213" t="e">
        <f>D19</f>
        <v>#REF!</v>
      </c>
      <c r="E43" s="213" t="e">
        <f t="shared" ref="E43:I43" si="8">E19</f>
        <v>#REF!</v>
      </c>
      <c r="F43" s="213" t="e">
        <f t="shared" si="8"/>
        <v>#REF!</v>
      </c>
      <c r="G43" s="213" t="e">
        <f t="shared" si="8"/>
        <v>#REF!</v>
      </c>
      <c r="H43" s="48" t="str">
        <f t="shared" si="0"/>
        <v/>
      </c>
      <c r="I43" s="213" t="e">
        <f t="shared" si="8"/>
        <v>#REF!</v>
      </c>
      <c r="J43" s="48" t="str">
        <f t="shared" si="1"/>
        <v/>
      </c>
    </row>
    <row r="44" spans="1:10" s="216" customFormat="1" ht="24.9" customHeight="1">
      <c r="A44" s="173" t="s">
        <v>65</v>
      </c>
      <c r="B44" s="17" t="s">
        <v>364</v>
      </c>
      <c r="C44" s="156" t="s">
        <v>16</v>
      </c>
      <c r="D44" s="213">
        <v>100</v>
      </c>
      <c r="E44" s="213">
        <v>100</v>
      </c>
      <c r="F44" s="213">
        <v>100</v>
      </c>
      <c r="G44" s="213">
        <v>100</v>
      </c>
      <c r="H44" s="48">
        <f t="shared" si="0"/>
        <v>100</v>
      </c>
      <c r="I44" s="213">
        <v>100</v>
      </c>
      <c r="J44" s="48">
        <f t="shared" si="1"/>
        <v>100</v>
      </c>
    </row>
    <row r="45" spans="1:10" s="79" customFormat="1" ht="24.9" customHeight="1">
      <c r="A45" s="173" t="s">
        <v>65</v>
      </c>
      <c r="B45" s="17" t="s">
        <v>365</v>
      </c>
      <c r="C45" s="156" t="s">
        <v>38</v>
      </c>
      <c r="D45" s="213"/>
      <c r="E45" s="213"/>
      <c r="F45" s="213"/>
      <c r="G45" s="213"/>
      <c r="H45" s="48" t="str">
        <f t="shared" si="0"/>
        <v/>
      </c>
      <c r="I45" s="213"/>
      <c r="J45" s="48" t="str">
        <f t="shared" si="1"/>
        <v/>
      </c>
    </row>
    <row r="46" spans="1:10" s="216" customFormat="1" ht="33" customHeight="1">
      <c r="A46" s="173" t="s">
        <v>65</v>
      </c>
      <c r="B46" s="17" t="s">
        <v>366</v>
      </c>
      <c r="C46" s="156" t="s">
        <v>16</v>
      </c>
      <c r="D46" s="213"/>
      <c r="E46" s="213"/>
      <c r="F46" s="213"/>
      <c r="G46" s="213"/>
      <c r="H46" s="48" t="str">
        <f t="shared" si="0"/>
        <v/>
      </c>
      <c r="I46" s="213"/>
      <c r="J46" s="48" t="str">
        <f t="shared" si="1"/>
        <v/>
      </c>
    </row>
    <row r="47" spans="1:10" s="216" customFormat="1" ht="24.9" customHeight="1">
      <c r="A47" s="156"/>
      <c r="B47" s="17" t="s">
        <v>367</v>
      </c>
      <c r="C47" s="156"/>
      <c r="D47" s="213"/>
      <c r="E47" s="213"/>
      <c r="F47" s="213"/>
      <c r="G47" s="213"/>
      <c r="H47" s="48" t="str">
        <f t="shared" si="0"/>
        <v/>
      </c>
      <c r="I47" s="213"/>
      <c r="J47" s="48" t="str">
        <f t="shared" si="1"/>
        <v/>
      </c>
    </row>
    <row r="48" spans="1:10" s="216" customFormat="1" ht="24.9" customHeight="1">
      <c r="A48" s="156"/>
      <c r="B48" s="17" t="s">
        <v>368</v>
      </c>
      <c r="C48" s="156" t="s">
        <v>16</v>
      </c>
      <c r="D48" s="211">
        <v>100</v>
      </c>
      <c r="E48" s="211">
        <v>100</v>
      </c>
      <c r="F48" s="211">
        <v>100</v>
      </c>
      <c r="G48" s="211">
        <v>100</v>
      </c>
      <c r="H48" s="48">
        <f t="shared" si="0"/>
        <v>100</v>
      </c>
      <c r="I48" s="211">
        <v>100</v>
      </c>
      <c r="J48" s="48">
        <f t="shared" si="1"/>
        <v>100</v>
      </c>
    </row>
    <row r="49" spans="1:10" s="216" customFormat="1" ht="24.9" customHeight="1">
      <c r="A49" s="156"/>
      <c r="B49" s="17" t="s">
        <v>369</v>
      </c>
      <c r="C49" s="156" t="s">
        <v>16</v>
      </c>
      <c r="D49" s="211">
        <f>'KH2019. 2. CN NN DV'!D33</f>
        <v>89.1</v>
      </c>
      <c r="E49" s="211">
        <f>'KH2019. 2. CN NN DV'!E33</f>
        <v>91.1</v>
      </c>
      <c r="F49" s="211">
        <f>'KH2019. 2. CN NN DV'!F33</f>
        <v>91.1</v>
      </c>
      <c r="G49" s="211">
        <f>'KH2019. 2. CN NN DV'!G33</f>
        <v>91.1</v>
      </c>
      <c r="H49" s="48">
        <f t="shared" si="0"/>
        <v>102.24466891133558</v>
      </c>
      <c r="I49" s="211">
        <f>'KH2019. 2. CN NN DV'!I33</f>
        <v>91.5</v>
      </c>
      <c r="J49" s="48">
        <f t="shared" si="1"/>
        <v>100.4390779363337</v>
      </c>
    </row>
    <row r="50" spans="1:10" s="151" customFormat="1" ht="24.9" customHeight="1">
      <c r="A50" s="8" t="s">
        <v>28</v>
      </c>
      <c r="B50" s="12" t="s">
        <v>370</v>
      </c>
      <c r="C50" s="167"/>
      <c r="D50" s="224"/>
      <c r="E50" s="224"/>
      <c r="F50" s="224"/>
      <c r="G50" s="224"/>
      <c r="H50" s="48" t="str">
        <f t="shared" si="0"/>
        <v/>
      </c>
      <c r="I50" s="224"/>
      <c r="J50" s="48" t="str">
        <f t="shared" si="1"/>
        <v/>
      </c>
    </row>
    <row r="51" spans="1:10" s="151" customFormat="1" ht="24.9" customHeight="1">
      <c r="A51" s="62" t="s">
        <v>65</v>
      </c>
      <c r="B51" s="17" t="s">
        <v>498</v>
      </c>
      <c r="C51" s="156" t="s">
        <v>16</v>
      </c>
      <c r="D51" s="66">
        <v>84.95</v>
      </c>
      <c r="E51" s="66" t="e">
        <f>#REF!</f>
        <v>#REF!</v>
      </c>
      <c r="F51" s="66" t="e">
        <f>#REF!</f>
        <v>#REF!</v>
      </c>
      <c r="G51" s="66">
        <v>85.87</v>
      </c>
      <c r="H51" s="48">
        <f t="shared" si="0"/>
        <v>101.08298999411419</v>
      </c>
      <c r="I51" s="66" t="e">
        <f>#REF!</f>
        <v>#REF!</v>
      </c>
      <c r="J51" s="48" t="str">
        <f t="shared" si="1"/>
        <v/>
      </c>
    </row>
    <row r="52" spans="1:10" s="79" customFormat="1" ht="39.9" customHeight="1">
      <c r="A52" s="16" t="s">
        <v>65</v>
      </c>
      <c r="B52" s="17" t="s">
        <v>371</v>
      </c>
      <c r="C52" s="156" t="s">
        <v>45</v>
      </c>
      <c r="D52" s="49">
        <v>2328</v>
      </c>
      <c r="E52" s="49">
        <v>2447</v>
      </c>
      <c r="F52" s="49">
        <v>2329</v>
      </c>
      <c r="G52" s="49">
        <v>2368</v>
      </c>
      <c r="H52" s="48">
        <f t="shared" si="0"/>
        <v>101.71821305841924</v>
      </c>
      <c r="I52" s="49">
        <v>2389</v>
      </c>
      <c r="J52" s="48">
        <f t="shared" si="1"/>
        <v>100.88682432432432</v>
      </c>
    </row>
    <row r="53" spans="1:10" s="151" customFormat="1" ht="24.9" customHeight="1">
      <c r="A53" s="62" t="s">
        <v>65</v>
      </c>
      <c r="B53" s="17" t="s">
        <v>496</v>
      </c>
      <c r="C53" s="156" t="s">
        <v>16</v>
      </c>
      <c r="D53" s="66">
        <v>8.9600000000000009</v>
      </c>
      <c r="E53" s="66">
        <v>9</v>
      </c>
      <c r="F53" s="66"/>
      <c r="G53" s="66">
        <v>8.82</v>
      </c>
      <c r="H53" s="48">
        <f t="shared" ref="H53" si="9">IFERROR(G53/D53%,"")</f>
        <v>98.437499999999986</v>
      </c>
      <c r="I53" s="66">
        <v>8.66</v>
      </c>
      <c r="J53" s="48">
        <f t="shared" ref="J53" si="10">IFERROR(I53/G53%,"")</f>
        <v>98.185941043083901</v>
      </c>
    </row>
    <row r="54" spans="1:10" s="151" customFormat="1" ht="24.9" customHeight="1">
      <c r="A54" s="62" t="s">
        <v>65</v>
      </c>
      <c r="B54" s="17" t="s">
        <v>497</v>
      </c>
      <c r="C54" s="156" t="s">
        <v>16</v>
      </c>
      <c r="D54" s="66">
        <v>6.79</v>
      </c>
      <c r="E54" s="66">
        <v>7</v>
      </c>
      <c r="F54" s="66"/>
      <c r="G54" s="66">
        <v>6.69</v>
      </c>
      <c r="H54" s="48">
        <f t="shared" ref="H54" si="11">IFERROR(G54/D54%,"")</f>
        <v>98.527245949926368</v>
      </c>
      <c r="I54" s="66">
        <v>6.58</v>
      </c>
      <c r="J54" s="48">
        <f t="shared" ref="J54" si="12">IFERROR(I54/G54%,"")</f>
        <v>98.355754857997013</v>
      </c>
    </row>
    <row r="55" spans="1:10" ht="39.9" customHeight="1">
      <c r="A55" s="173" t="s">
        <v>65</v>
      </c>
      <c r="B55" s="17" t="s">
        <v>372</v>
      </c>
      <c r="C55" s="156" t="s">
        <v>64</v>
      </c>
      <c r="D55" s="211" t="e">
        <f>85/D9*10000</f>
        <v>#REF!</v>
      </c>
      <c r="E55" s="211" t="e">
        <f>90/E9*10000</f>
        <v>#REF!</v>
      </c>
      <c r="F55" s="211" t="e">
        <f t="shared" ref="F55:I55" si="13">90/F9*10000</f>
        <v>#REF!</v>
      </c>
      <c r="G55" s="211" t="e">
        <f t="shared" si="13"/>
        <v>#REF!</v>
      </c>
      <c r="H55" s="48" t="str">
        <f t="shared" si="0"/>
        <v/>
      </c>
      <c r="I55" s="211" t="e">
        <f t="shared" si="13"/>
        <v>#REF!</v>
      </c>
      <c r="J55" s="48" t="str">
        <f t="shared" si="1"/>
        <v/>
      </c>
    </row>
    <row r="56" spans="1:10" ht="24.9" customHeight="1">
      <c r="A56" s="173" t="s">
        <v>65</v>
      </c>
      <c r="B56" s="17" t="s">
        <v>373</v>
      </c>
      <c r="C56" s="156" t="s">
        <v>251</v>
      </c>
      <c r="D56" s="211" t="e">
        <f>29/D9*10000</f>
        <v>#REF!</v>
      </c>
      <c r="E56" s="211" t="e">
        <f>30/E9*10000</f>
        <v>#REF!</v>
      </c>
      <c r="F56" s="211" t="e">
        <f t="shared" ref="F56:G56" si="14">30/F9*10000</f>
        <v>#REF!</v>
      </c>
      <c r="G56" s="211" t="e">
        <f t="shared" si="14"/>
        <v>#REF!</v>
      </c>
      <c r="H56" s="48" t="str">
        <f t="shared" si="0"/>
        <v/>
      </c>
      <c r="I56" s="211" t="e">
        <f>31/I9*10000</f>
        <v>#REF!</v>
      </c>
      <c r="J56" s="48" t="str">
        <f t="shared" si="1"/>
        <v/>
      </c>
    </row>
    <row r="57" spans="1:10" ht="39.9" customHeight="1">
      <c r="A57" s="173" t="s">
        <v>65</v>
      </c>
      <c r="B57" s="17" t="s">
        <v>374</v>
      </c>
      <c r="C57" s="156" t="s">
        <v>16</v>
      </c>
      <c r="D57" s="211">
        <v>100</v>
      </c>
      <c r="E57" s="211">
        <v>100</v>
      </c>
      <c r="F57" s="211">
        <v>100</v>
      </c>
      <c r="G57" s="211">
        <v>100</v>
      </c>
      <c r="H57" s="48">
        <f t="shared" si="0"/>
        <v>100</v>
      </c>
      <c r="I57" s="211">
        <v>100</v>
      </c>
      <c r="J57" s="48">
        <f t="shared" si="1"/>
        <v>100</v>
      </c>
    </row>
    <row r="58" spans="1:10" ht="25.5" customHeight="1">
      <c r="A58" s="173" t="s">
        <v>65</v>
      </c>
      <c r="B58" s="17" t="s">
        <v>375</v>
      </c>
      <c r="C58" s="156" t="s">
        <v>16</v>
      </c>
      <c r="D58" s="211" t="e">
        <f>#REF!</f>
        <v>#REF!</v>
      </c>
      <c r="E58" s="211" t="e">
        <f>#REF!</f>
        <v>#REF!</v>
      </c>
      <c r="F58" s="211" t="e">
        <f>#REF!</f>
        <v>#REF!</v>
      </c>
      <c r="G58" s="211" t="e">
        <f>#REF!</f>
        <v>#REF!</v>
      </c>
      <c r="H58" s="48" t="str">
        <f t="shared" si="0"/>
        <v/>
      </c>
      <c r="I58" s="211" t="e">
        <f>#REF!</f>
        <v>#REF!</v>
      </c>
      <c r="J58" s="48" t="str">
        <f t="shared" si="1"/>
        <v/>
      </c>
    </row>
    <row r="59" spans="1:10" ht="24.9" customHeight="1">
      <c r="A59" s="16" t="s">
        <v>65</v>
      </c>
      <c r="B59" s="203" t="s">
        <v>376</v>
      </c>
      <c r="C59" s="156" t="s">
        <v>377</v>
      </c>
      <c r="D59" s="213"/>
      <c r="E59" s="213"/>
      <c r="F59" s="213"/>
      <c r="G59" s="213"/>
      <c r="H59" s="48" t="str">
        <f t="shared" si="0"/>
        <v/>
      </c>
      <c r="I59" s="213"/>
      <c r="J59" s="48" t="str">
        <f t="shared" si="1"/>
        <v/>
      </c>
    </row>
    <row r="60" spans="1:10" ht="24.9" customHeight="1">
      <c r="A60" s="173" t="s">
        <v>65</v>
      </c>
      <c r="B60" s="203" t="s">
        <v>378</v>
      </c>
      <c r="C60" s="156" t="s">
        <v>377</v>
      </c>
      <c r="D60" s="213"/>
      <c r="E60" s="213"/>
      <c r="F60" s="213"/>
      <c r="G60" s="213"/>
      <c r="H60" s="48" t="str">
        <f t="shared" si="0"/>
        <v/>
      </c>
      <c r="I60" s="213"/>
      <c r="J60" s="48" t="str">
        <f t="shared" si="1"/>
        <v/>
      </c>
    </row>
    <row r="61" spans="1:10" ht="39.9" customHeight="1">
      <c r="A61" s="16" t="s">
        <v>65</v>
      </c>
      <c r="B61" s="17" t="s">
        <v>379</v>
      </c>
      <c r="C61" s="156" t="s">
        <v>16</v>
      </c>
      <c r="D61" s="211" t="e">
        <f>#REF!</f>
        <v>#REF!</v>
      </c>
      <c r="E61" s="211" t="e">
        <f>#REF!</f>
        <v>#REF!</v>
      </c>
      <c r="F61" s="211" t="e">
        <f>#REF!</f>
        <v>#REF!</v>
      </c>
      <c r="G61" s="211" t="e">
        <f>#REF!</f>
        <v>#REF!</v>
      </c>
      <c r="H61" s="48" t="str">
        <f t="shared" si="0"/>
        <v/>
      </c>
      <c r="I61" s="211">
        <v>19</v>
      </c>
      <c r="J61" s="48" t="str">
        <f t="shared" si="1"/>
        <v/>
      </c>
    </row>
    <row r="62" spans="1:10" s="174" customFormat="1" ht="31.95" customHeight="1">
      <c r="A62" s="16" t="s">
        <v>65</v>
      </c>
      <c r="B62" s="17" t="s">
        <v>380</v>
      </c>
      <c r="C62" s="156" t="s">
        <v>381</v>
      </c>
      <c r="D62" s="49">
        <v>9</v>
      </c>
      <c r="E62" s="49">
        <v>9</v>
      </c>
      <c r="F62" s="49">
        <v>9</v>
      </c>
      <c r="G62" s="49">
        <v>9</v>
      </c>
      <c r="H62" s="48">
        <f t="shared" si="0"/>
        <v>100</v>
      </c>
      <c r="I62" s="49">
        <v>9</v>
      </c>
      <c r="J62" s="48">
        <f t="shared" si="1"/>
        <v>100</v>
      </c>
    </row>
    <row r="63" spans="1:10" s="174" customFormat="1" ht="31.95" customHeight="1">
      <c r="A63" s="173" t="s">
        <v>65</v>
      </c>
      <c r="B63" s="17" t="s">
        <v>382</v>
      </c>
      <c r="C63" s="1" t="s">
        <v>16</v>
      </c>
      <c r="D63" s="49">
        <f>9/9%</f>
        <v>100</v>
      </c>
      <c r="E63" s="49">
        <f t="shared" ref="E63:I63" si="15">9/9%</f>
        <v>100</v>
      </c>
      <c r="F63" s="49">
        <f t="shared" si="15"/>
        <v>100</v>
      </c>
      <c r="G63" s="49">
        <f t="shared" si="15"/>
        <v>100</v>
      </c>
      <c r="H63" s="48">
        <f t="shared" si="0"/>
        <v>100</v>
      </c>
      <c r="I63" s="49">
        <f t="shared" si="15"/>
        <v>100</v>
      </c>
      <c r="J63" s="48">
        <f t="shared" si="1"/>
        <v>100</v>
      </c>
    </row>
    <row r="64" spans="1:10" s="174" customFormat="1" ht="31.95" customHeight="1">
      <c r="A64" s="167" t="s">
        <v>29</v>
      </c>
      <c r="B64" s="12" t="s">
        <v>383</v>
      </c>
      <c r="C64" s="167"/>
      <c r="D64" s="49"/>
      <c r="E64" s="49"/>
      <c r="F64" s="49"/>
      <c r="G64" s="49"/>
      <c r="H64" s="48" t="str">
        <f t="shared" si="0"/>
        <v/>
      </c>
      <c r="I64" s="49"/>
      <c r="J64" s="48" t="str">
        <f t="shared" si="1"/>
        <v/>
      </c>
    </row>
    <row r="65" spans="1:10" s="174" customFormat="1" ht="31.95" customHeight="1">
      <c r="A65" s="156"/>
      <c r="B65" s="29" t="s">
        <v>384</v>
      </c>
      <c r="C65" s="156" t="s">
        <v>385</v>
      </c>
      <c r="D65" s="49">
        <v>0</v>
      </c>
      <c r="E65" s="49">
        <v>0</v>
      </c>
      <c r="F65" s="49">
        <v>0</v>
      </c>
      <c r="G65" s="49">
        <v>0</v>
      </c>
      <c r="H65" s="48" t="str">
        <f t="shared" si="0"/>
        <v/>
      </c>
      <c r="I65" s="49">
        <v>0</v>
      </c>
      <c r="J65" s="48" t="str">
        <f t="shared" si="1"/>
        <v/>
      </c>
    </row>
    <row r="66" spans="1:10" s="174" customFormat="1" ht="31.95" customHeight="1">
      <c r="A66" s="156"/>
      <c r="B66" s="29" t="s">
        <v>386</v>
      </c>
      <c r="C66" s="156" t="s">
        <v>38</v>
      </c>
      <c r="D66" s="49" t="e">
        <f>D19</f>
        <v>#REF!</v>
      </c>
      <c r="E66" s="49" t="e">
        <f t="shared" ref="E66:I66" si="16">E19</f>
        <v>#REF!</v>
      </c>
      <c r="F66" s="49" t="e">
        <f t="shared" si="16"/>
        <v>#REF!</v>
      </c>
      <c r="G66" s="49" t="e">
        <f t="shared" si="16"/>
        <v>#REF!</v>
      </c>
      <c r="H66" s="48" t="str">
        <f t="shared" si="0"/>
        <v/>
      </c>
      <c r="I66" s="49" t="e">
        <f t="shared" si="16"/>
        <v>#REF!</v>
      </c>
      <c r="J66" s="48" t="str">
        <f t="shared" si="1"/>
        <v/>
      </c>
    </row>
    <row r="67" spans="1:10" s="174" customFormat="1" ht="31.95" customHeight="1">
      <c r="A67" s="156"/>
      <c r="B67" s="29" t="s">
        <v>387</v>
      </c>
      <c r="C67" s="156" t="s">
        <v>16</v>
      </c>
      <c r="D67" s="48">
        <v>100</v>
      </c>
      <c r="E67" s="48">
        <v>100</v>
      </c>
      <c r="F67" s="48">
        <v>100</v>
      </c>
      <c r="G67" s="48">
        <v>100</v>
      </c>
      <c r="H67" s="48">
        <f t="shared" si="0"/>
        <v>100</v>
      </c>
      <c r="I67" s="48">
        <v>100</v>
      </c>
      <c r="J67" s="48">
        <f t="shared" si="1"/>
        <v>100</v>
      </c>
    </row>
    <row r="68" spans="1:10" s="174" customFormat="1" ht="31.95" customHeight="1">
      <c r="A68" s="156"/>
      <c r="B68" s="29" t="s">
        <v>388</v>
      </c>
      <c r="C68" s="156" t="s">
        <v>38</v>
      </c>
      <c r="D68" s="49" t="e">
        <f>D19</f>
        <v>#REF!</v>
      </c>
      <c r="E68" s="49" t="e">
        <f t="shared" ref="E68:I68" si="17">E19</f>
        <v>#REF!</v>
      </c>
      <c r="F68" s="49" t="e">
        <f t="shared" si="17"/>
        <v>#REF!</v>
      </c>
      <c r="G68" s="49" t="e">
        <f t="shared" si="17"/>
        <v>#REF!</v>
      </c>
      <c r="H68" s="48" t="str">
        <f t="shared" si="0"/>
        <v/>
      </c>
      <c r="I68" s="49" t="e">
        <f t="shared" si="17"/>
        <v>#REF!</v>
      </c>
      <c r="J68" s="48" t="str">
        <f t="shared" si="1"/>
        <v/>
      </c>
    </row>
    <row r="69" spans="1:10" s="174" customFormat="1" ht="36.75" customHeight="1">
      <c r="A69" s="156"/>
      <c r="B69" s="29" t="s">
        <v>389</v>
      </c>
      <c r="C69" s="156" t="s">
        <v>16</v>
      </c>
      <c r="D69" s="48">
        <v>100</v>
      </c>
      <c r="E69" s="48">
        <v>100</v>
      </c>
      <c r="F69" s="48">
        <v>100</v>
      </c>
      <c r="G69" s="48">
        <v>100</v>
      </c>
      <c r="H69" s="48">
        <f t="shared" si="0"/>
        <v>100</v>
      </c>
      <c r="I69" s="48">
        <v>100</v>
      </c>
      <c r="J69" s="48">
        <f t="shared" si="1"/>
        <v>100</v>
      </c>
    </row>
    <row r="70" spans="1:10" s="174" customFormat="1" ht="31.95" customHeight="1">
      <c r="A70" s="8" t="s">
        <v>39</v>
      </c>
      <c r="B70" s="12" t="s">
        <v>390</v>
      </c>
      <c r="C70" s="167"/>
      <c r="D70" s="49"/>
      <c r="E70" s="49"/>
      <c r="F70" s="49"/>
      <c r="G70" s="49"/>
      <c r="H70" s="48" t="str">
        <f t="shared" si="0"/>
        <v/>
      </c>
      <c r="I70" s="49"/>
      <c r="J70" s="48" t="str">
        <f t="shared" si="1"/>
        <v/>
      </c>
    </row>
    <row r="71" spans="1:10" s="174" customFormat="1" ht="24.75" customHeight="1">
      <c r="A71" s="156"/>
      <c r="B71" s="29" t="s">
        <v>391</v>
      </c>
      <c r="C71" s="156" t="s">
        <v>1</v>
      </c>
      <c r="D71" s="49" t="e">
        <f>SUM(D72:D75)</f>
        <v>#REF!</v>
      </c>
      <c r="E71" s="49" t="e">
        <f t="shared" ref="E71:I71" si="18">SUM(E72:E75)</f>
        <v>#REF!</v>
      </c>
      <c r="F71" s="49" t="e">
        <f t="shared" si="18"/>
        <v>#REF!</v>
      </c>
      <c r="G71" s="49" t="e">
        <f t="shared" si="18"/>
        <v>#REF!</v>
      </c>
      <c r="H71" s="48" t="str">
        <f t="shared" si="0"/>
        <v/>
      </c>
      <c r="I71" s="49" t="e">
        <f t="shared" si="18"/>
        <v>#REF!</v>
      </c>
      <c r="J71" s="48" t="str">
        <f t="shared" si="1"/>
        <v/>
      </c>
    </row>
    <row r="72" spans="1:10" s="174" customFormat="1" ht="24.75" customHeight="1">
      <c r="A72" s="156"/>
      <c r="B72" s="17" t="s">
        <v>392</v>
      </c>
      <c r="C72" s="156" t="s">
        <v>1</v>
      </c>
      <c r="D72" s="49" t="e">
        <f>#REF!</f>
        <v>#REF!</v>
      </c>
      <c r="E72" s="49" t="e">
        <f>#REF!</f>
        <v>#REF!</v>
      </c>
      <c r="F72" s="49" t="e">
        <f>#REF!</f>
        <v>#REF!</v>
      </c>
      <c r="G72" s="49" t="e">
        <f>#REF!</f>
        <v>#REF!</v>
      </c>
      <c r="H72" s="48" t="str">
        <f t="shared" si="0"/>
        <v/>
      </c>
      <c r="I72" s="49" t="e">
        <f>#REF!</f>
        <v>#REF!</v>
      </c>
      <c r="J72" s="48" t="str">
        <f t="shared" si="1"/>
        <v/>
      </c>
    </row>
    <row r="73" spans="1:10" s="174" customFormat="1" ht="24.75" customHeight="1">
      <c r="A73" s="156"/>
      <c r="B73" s="17" t="s">
        <v>393</v>
      </c>
      <c r="C73" s="156" t="s">
        <v>1</v>
      </c>
      <c r="D73" s="49" t="e">
        <f>#REF!</f>
        <v>#REF!</v>
      </c>
      <c r="E73" s="49" t="e">
        <f>#REF!</f>
        <v>#REF!</v>
      </c>
      <c r="F73" s="49" t="e">
        <f>#REF!</f>
        <v>#REF!</v>
      </c>
      <c r="G73" s="49" t="e">
        <f>#REF!</f>
        <v>#REF!</v>
      </c>
      <c r="H73" s="48" t="str">
        <f t="shared" si="0"/>
        <v/>
      </c>
      <c r="I73" s="49" t="e">
        <f>#REF!</f>
        <v>#REF!</v>
      </c>
      <c r="J73" s="48" t="str">
        <f t="shared" si="1"/>
        <v/>
      </c>
    </row>
    <row r="74" spans="1:10" s="174" customFormat="1" ht="24.75" customHeight="1">
      <c r="A74" s="156"/>
      <c r="B74" s="17" t="s">
        <v>394</v>
      </c>
      <c r="C74" s="156" t="s">
        <v>1</v>
      </c>
      <c r="D74" s="49" t="e">
        <f>#REF!</f>
        <v>#REF!</v>
      </c>
      <c r="E74" s="49" t="e">
        <f>#REF!</f>
        <v>#REF!</v>
      </c>
      <c r="F74" s="49" t="e">
        <f>#REF!</f>
        <v>#REF!</v>
      </c>
      <c r="G74" s="49" t="e">
        <f>#REF!</f>
        <v>#REF!</v>
      </c>
      <c r="H74" s="48" t="str">
        <f t="shared" si="0"/>
        <v/>
      </c>
      <c r="I74" s="49" t="e">
        <f>#REF!</f>
        <v>#REF!</v>
      </c>
      <c r="J74" s="48" t="str">
        <f t="shared" si="1"/>
        <v/>
      </c>
    </row>
    <row r="75" spans="1:10" s="174" customFormat="1" ht="24.75" customHeight="1">
      <c r="A75" s="156"/>
      <c r="B75" s="17" t="s">
        <v>395</v>
      </c>
      <c r="C75" s="156" t="s">
        <v>1</v>
      </c>
      <c r="D75" s="49" t="e">
        <f>#REF!</f>
        <v>#REF!</v>
      </c>
      <c r="E75" s="49" t="e">
        <f>#REF!</f>
        <v>#REF!</v>
      </c>
      <c r="F75" s="49" t="e">
        <f>#REF!</f>
        <v>#REF!</v>
      </c>
      <c r="G75" s="49" t="e">
        <f>#REF!</f>
        <v>#REF!</v>
      </c>
      <c r="H75" s="48" t="str">
        <f t="shared" ref="H75:H79" si="19">IFERROR(G75/D75%,"")</f>
        <v/>
      </c>
      <c r="I75" s="49" t="e">
        <f>#REF!</f>
        <v>#REF!</v>
      </c>
      <c r="J75" s="48" t="str">
        <f t="shared" ref="J75:J79" si="20">IFERROR(I75/G75%,"")</f>
        <v/>
      </c>
    </row>
    <row r="76" spans="1:10" s="174" customFormat="1" ht="31.5" customHeight="1">
      <c r="A76" s="156"/>
      <c r="B76" s="29" t="s">
        <v>396</v>
      </c>
      <c r="C76" s="156" t="s">
        <v>16</v>
      </c>
      <c r="D76" s="48">
        <v>97.2</v>
      </c>
      <c r="E76" s="48">
        <v>98</v>
      </c>
      <c r="F76" s="48">
        <v>97.6</v>
      </c>
      <c r="G76" s="48">
        <v>97.6</v>
      </c>
      <c r="H76" s="48">
        <f t="shared" si="19"/>
        <v>100.41152263374485</v>
      </c>
      <c r="I76" s="48">
        <v>98</v>
      </c>
      <c r="J76" s="48">
        <f t="shared" si="20"/>
        <v>100.40983606557377</v>
      </c>
    </row>
    <row r="77" spans="1:10" s="174" customFormat="1" ht="25.5" customHeight="1">
      <c r="A77" s="156"/>
      <c r="B77" s="29" t="s">
        <v>397</v>
      </c>
      <c r="C77" s="156" t="s">
        <v>16</v>
      </c>
      <c r="D77" s="48"/>
      <c r="E77" s="48"/>
      <c r="F77" s="48"/>
      <c r="G77" s="48"/>
      <c r="H77" s="48" t="str">
        <f t="shared" si="19"/>
        <v/>
      </c>
      <c r="I77" s="48"/>
      <c r="J77" s="48" t="str">
        <f t="shared" si="20"/>
        <v/>
      </c>
    </row>
    <row r="78" spans="1:10" s="174" customFormat="1" ht="21.75" customHeight="1">
      <c r="A78" s="156"/>
      <c r="B78" s="29" t="s">
        <v>393</v>
      </c>
      <c r="C78" s="156" t="s">
        <v>16</v>
      </c>
      <c r="D78" s="48">
        <v>99.6</v>
      </c>
      <c r="E78" s="48">
        <v>99.6</v>
      </c>
      <c r="F78" s="48">
        <v>99.6</v>
      </c>
      <c r="G78" s="48">
        <v>99.6</v>
      </c>
      <c r="H78" s="48">
        <f t="shared" si="19"/>
        <v>100</v>
      </c>
      <c r="I78" s="48">
        <v>99.7</v>
      </c>
      <c r="J78" s="48">
        <f t="shared" si="20"/>
        <v>100.10040160642571</v>
      </c>
    </row>
    <row r="79" spans="1:10" s="174" customFormat="1" ht="19.5" customHeight="1">
      <c r="A79" s="156"/>
      <c r="B79" s="29" t="s">
        <v>394</v>
      </c>
      <c r="C79" s="156" t="s">
        <v>16</v>
      </c>
      <c r="D79" s="48">
        <v>96.84</v>
      </c>
      <c r="E79" s="48">
        <v>96.84</v>
      </c>
      <c r="F79" s="48">
        <v>96.84</v>
      </c>
      <c r="G79" s="48">
        <v>96.84</v>
      </c>
      <c r="H79" s="48">
        <f t="shared" si="19"/>
        <v>100</v>
      </c>
      <c r="I79" s="48">
        <v>97</v>
      </c>
      <c r="J79" s="48">
        <f t="shared" si="20"/>
        <v>100.16522098306484</v>
      </c>
    </row>
    <row r="80" spans="1:10" ht="15.6">
      <c r="A80" s="196"/>
      <c r="B80" s="196"/>
      <c r="C80" s="196"/>
      <c r="D80" s="221"/>
      <c r="E80" s="221"/>
      <c r="F80" s="221"/>
      <c r="G80" s="221"/>
      <c r="H80" s="221"/>
      <c r="I80" s="221"/>
      <c r="J80" s="221"/>
    </row>
  </sheetData>
  <mergeCells count="9">
    <mergeCell ref="A2:J2"/>
    <mergeCell ref="A3:J3"/>
    <mergeCell ref="A5:A6"/>
    <mergeCell ref="B5:B6"/>
    <mergeCell ref="C5:C6"/>
    <mergeCell ref="D5:D6"/>
    <mergeCell ref="E5:H5"/>
    <mergeCell ref="I5:I6"/>
    <mergeCell ref="J5:J6"/>
  </mergeCells>
  <pageMargins left="0.39370078740157483" right="0.19685039370078741" top="0.78740157480314965" bottom="0.39370078740157483" header="0.31496062992125984" footer="0.19685039370078741"/>
  <pageSetup paperSize="9" scale="92" fitToHeight="0" orientation="landscape" r:id="rId1"/>
  <headerFoot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00FF"/>
    <pageSetUpPr fitToPage="1"/>
  </sheetPr>
  <dimension ref="A1:J15"/>
  <sheetViews>
    <sheetView zoomScale="70" zoomScaleNormal="70" workbookViewId="0">
      <pane xSplit="2" ySplit="7" topLeftCell="C8" activePane="bottomRight" state="frozen"/>
      <selection activeCell="D60" sqref="D60"/>
      <selection pane="topRight" activeCell="D60" sqref="D60"/>
      <selection pane="bottomLeft" activeCell="D60" sqref="D60"/>
      <selection pane="bottomRight" activeCell="D60" sqref="D60"/>
    </sheetView>
  </sheetViews>
  <sheetFormatPr defaultColWidth="10.33203125" defaultRowHeight="13.2" outlineLevelRow="1"/>
  <cols>
    <col min="1" max="1" width="4.109375" style="160" customWidth="1"/>
    <col min="2" max="2" width="38.88671875" style="160" customWidth="1"/>
    <col min="3" max="3" width="11" style="160" customWidth="1"/>
    <col min="4" max="10" width="12.109375" style="160" customWidth="1"/>
    <col min="11" max="11" width="31.5546875" style="160" customWidth="1"/>
    <col min="12" max="16384" width="10.33203125" style="160"/>
  </cols>
  <sheetData>
    <row r="1" spans="1:10" ht="17.399999999999999" outlineLevel="1">
      <c r="A1" s="150"/>
      <c r="B1" s="151"/>
      <c r="C1" s="151"/>
      <c r="D1" s="151"/>
      <c r="E1" s="151"/>
      <c r="F1" s="151"/>
      <c r="G1" s="151"/>
      <c r="H1" s="151"/>
      <c r="J1" s="152" t="s">
        <v>272</v>
      </c>
    </row>
    <row r="2" spans="1:10" ht="16.8" outlineLevel="1">
      <c r="A2" s="673" t="s">
        <v>398</v>
      </c>
      <c r="B2" s="673"/>
      <c r="C2" s="673"/>
      <c r="D2" s="673"/>
      <c r="E2" s="673"/>
      <c r="F2" s="673"/>
      <c r="G2" s="673"/>
      <c r="H2" s="673"/>
      <c r="I2" s="673"/>
      <c r="J2" s="673"/>
    </row>
    <row r="3" spans="1:10" ht="16.8" outlineLevel="1">
      <c r="A3" s="673" t="s">
        <v>399</v>
      </c>
      <c r="B3" s="673"/>
      <c r="C3" s="673"/>
      <c r="D3" s="673"/>
      <c r="E3" s="673"/>
      <c r="F3" s="673"/>
      <c r="G3" s="673"/>
      <c r="H3" s="673"/>
      <c r="I3" s="673"/>
      <c r="J3" s="673"/>
    </row>
    <row r="4" spans="1:10" outlineLevel="1"/>
    <row r="5" spans="1:10" s="161" customFormat="1" ht="15.6">
      <c r="A5" s="654" t="s">
        <v>275</v>
      </c>
      <c r="B5" s="654" t="s">
        <v>42</v>
      </c>
      <c r="C5" s="654" t="s">
        <v>276</v>
      </c>
      <c r="D5" s="654" t="s">
        <v>277</v>
      </c>
      <c r="E5" s="654" t="s">
        <v>265</v>
      </c>
      <c r="F5" s="654"/>
      <c r="G5" s="654"/>
      <c r="H5" s="654"/>
      <c r="I5" s="654" t="s">
        <v>267</v>
      </c>
      <c r="J5" s="654" t="s">
        <v>269</v>
      </c>
    </row>
    <row r="6" spans="1:10" s="161" customFormat="1" ht="78">
      <c r="A6" s="654"/>
      <c r="B6" s="654"/>
      <c r="C6" s="654"/>
      <c r="D6" s="654"/>
      <c r="E6" s="7" t="s">
        <v>221</v>
      </c>
      <c r="F6" s="7" t="s">
        <v>474</v>
      </c>
      <c r="G6" s="7" t="s">
        <v>266</v>
      </c>
      <c r="H6" s="7" t="s">
        <v>268</v>
      </c>
      <c r="I6" s="654"/>
      <c r="J6" s="654"/>
    </row>
    <row r="7" spans="1:10" s="163" customFormat="1" ht="21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 t="s">
        <v>231</v>
      </c>
      <c r="I7" s="7">
        <v>9</v>
      </c>
      <c r="J7" s="7" t="s">
        <v>270</v>
      </c>
    </row>
    <row r="8" spans="1:10" ht="34.5" customHeight="1">
      <c r="A8" s="155">
        <v>1</v>
      </c>
      <c r="B8" s="65" t="s">
        <v>400</v>
      </c>
      <c r="C8" s="155" t="s">
        <v>16</v>
      </c>
      <c r="D8" s="220">
        <v>92</v>
      </c>
      <c r="E8" s="220">
        <v>93</v>
      </c>
      <c r="F8" s="220">
        <v>93</v>
      </c>
      <c r="G8" s="220">
        <v>93</v>
      </c>
      <c r="H8" s="48">
        <f t="shared" ref="H8:H12" si="0">IFERROR(G8/D8%,"")</f>
        <v>101.08695652173913</v>
      </c>
      <c r="I8" s="220">
        <v>93</v>
      </c>
      <c r="J8" s="48">
        <f t="shared" ref="J8:J12" si="1">IFERROR(I8/G8%,"")</f>
        <v>100</v>
      </c>
    </row>
    <row r="9" spans="1:10" ht="35.25" customHeight="1">
      <c r="A9" s="156">
        <v>2</v>
      </c>
      <c r="B9" s="175" t="s">
        <v>401</v>
      </c>
      <c r="C9" s="156" t="s">
        <v>16</v>
      </c>
      <c r="D9" s="213">
        <v>50</v>
      </c>
      <c r="E9" s="213">
        <v>100</v>
      </c>
      <c r="F9" s="213">
        <v>50</v>
      </c>
      <c r="G9" s="213">
        <v>100</v>
      </c>
      <c r="H9" s="48">
        <f t="shared" si="0"/>
        <v>200</v>
      </c>
      <c r="I9" s="213">
        <v>100</v>
      </c>
      <c r="J9" s="48">
        <f t="shared" si="1"/>
        <v>100</v>
      </c>
    </row>
    <row r="10" spans="1:10" ht="34.5" customHeight="1">
      <c r="A10" s="156">
        <v>3</v>
      </c>
      <c r="B10" s="17" t="s">
        <v>402</v>
      </c>
      <c r="C10" s="156" t="s">
        <v>403</v>
      </c>
      <c r="D10" s="213">
        <v>1</v>
      </c>
      <c r="E10" s="213">
        <v>1</v>
      </c>
      <c r="F10" s="213">
        <v>1</v>
      </c>
      <c r="G10" s="213">
        <v>1</v>
      </c>
      <c r="H10" s="48">
        <f t="shared" si="0"/>
        <v>100</v>
      </c>
      <c r="I10" s="213">
        <v>1</v>
      </c>
      <c r="J10" s="48">
        <f t="shared" si="1"/>
        <v>100</v>
      </c>
    </row>
    <row r="11" spans="1:10" ht="64.5" customHeight="1">
      <c r="A11" s="156">
        <v>4</v>
      </c>
      <c r="B11" s="17" t="s">
        <v>404</v>
      </c>
      <c r="C11" s="156" t="s">
        <v>403</v>
      </c>
      <c r="D11" s="211">
        <v>0</v>
      </c>
      <c r="E11" s="211">
        <v>0</v>
      </c>
      <c r="F11" s="211">
        <v>0</v>
      </c>
      <c r="G11" s="211">
        <v>0</v>
      </c>
      <c r="H11" s="48" t="str">
        <f t="shared" si="0"/>
        <v/>
      </c>
      <c r="I11" s="211">
        <v>0</v>
      </c>
      <c r="J11" s="48" t="str">
        <f t="shared" si="1"/>
        <v/>
      </c>
    </row>
    <row r="12" spans="1:10" ht="66" customHeight="1">
      <c r="A12" s="156">
        <v>5</v>
      </c>
      <c r="B12" s="17" t="s">
        <v>404</v>
      </c>
      <c r="C12" s="156" t="s">
        <v>16</v>
      </c>
      <c r="D12" s="211">
        <v>0</v>
      </c>
      <c r="E12" s="211">
        <v>0</v>
      </c>
      <c r="F12" s="211">
        <v>0</v>
      </c>
      <c r="G12" s="211">
        <v>0</v>
      </c>
      <c r="H12" s="48" t="str">
        <f t="shared" si="0"/>
        <v/>
      </c>
      <c r="I12" s="211">
        <v>0</v>
      </c>
      <c r="J12" s="48" t="str">
        <f t="shared" si="1"/>
        <v/>
      </c>
    </row>
    <row r="13" spans="1:10" ht="11.25" customHeight="1">
      <c r="A13" s="198"/>
      <c r="B13" s="82"/>
      <c r="C13" s="198"/>
      <c r="D13" s="196"/>
      <c r="E13" s="196"/>
      <c r="F13" s="196"/>
      <c r="G13" s="196"/>
      <c r="H13" s="196"/>
      <c r="I13" s="196"/>
      <c r="J13" s="196"/>
    </row>
    <row r="14" spans="1:10" ht="15.6">
      <c r="A14" s="204"/>
      <c r="B14" s="46"/>
      <c r="C14" s="204"/>
      <c r="D14" s="79"/>
      <c r="E14" s="79"/>
      <c r="F14" s="79"/>
      <c r="G14" s="79"/>
      <c r="H14" s="79"/>
      <c r="I14" s="79"/>
      <c r="J14" s="79"/>
    </row>
    <row r="15" spans="1:10" ht="36" customHeight="1">
      <c r="A15" s="680" t="s">
        <v>405</v>
      </c>
      <c r="B15" s="680"/>
      <c r="C15" s="680"/>
      <c r="D15" s="680"/>
      <c r="E15" s="680"/>
      <c r="F15" s="680"/>
      <c r="G15" s="680"/>
      <c r="H15" s="680"/>
      <c r="I15" s="680"/>
      <c r="J15" s="680"/>
    </row>
  </sheetData>
  <mergeCells count="10">
    <mergeCell ref="A15:J15"/>
    <mergeCell ref="A2:J2"/>
    <mergeCell ref="A3:J3"/>
    <mergeCell ref="A5:A6"/>
    <mergeCell ref="B5:B6"/>
    <mergeCell ref="C5:C6"/>
    <mergeCell ref="D5:D6"/>
    <mergeCell ref="E5:H5"/>
    <mergeCell ref="I5:I6"/>
    <mergeCell ref="J5:J6"/>
  </mergeCells>
  <pageMargins left="0.39370078740157483" right="0.19685039370078741" top="0.78740157480314965" bottom="0.39370078740157483" header="0.31496062992125984" footer="0.19685039370078741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00FF"/>
    <pageSetUpPr fitToPage="1"/>
  </sheetPr>
  <dimension ref="A1:J57"/>
  <sheetViews>
    <sheetView zoomScale="70" zoomScaleNormal="70" workbookViewId="0">
      <pane xSplit="2" ySplit="37" topLeftCell="C38" activePane="bottomRight" state="frozen"/>
      <selection activeCell="D60" sqref="D60"/>
      <selection pane="topRight" activeCell="D60" sqref="D60"/>
      <selection pane="bottomLeft" activeCell="D60" sqref="D60"/>
      <selection pane="bottomRight" activeCell="D60" sqref="D60"/>
    </sheetView>
  </sheetViews>
  <sheetFormatPr defaultColWidth="10.33203125" defaultRowHeight="13.2" outlineLevelRow="1"/>
  <cols>
    <col min="1" max="1" width="3.88671875" style="160" customWidth="1"/>
    <col min="2" max="2" width="46.5546875" style="160" customWidth="1"/>
    <col min="3" max="3" width="12" style="161" customWidth="1"/>
    <col min="4" max="10" width="15" style="160" customWidth="1"/>
    <col min="11" max="11" width="31.5546875" style="160" customWidth="1"/>
    <col min="12" max="16384" width="10.33203125" style="160"/>
  </cols>
  <sheetData>
    <row r="1" spans="1:10" ht="17.399999999999999" hidden="1" outlineLevel="1">
      <c r="A1" s="150"/>
      <c r="B1" s="151"/>
      <c r="C1" s="176"/>
      <c r="D1" s="151"/>
      <c r="E1" s="151"/>
      <c r="F1" s="151"/>
      <c r="G1" s="151"/>
      <c r="H1" s="151"/>
      <c r="J1" s="152" t="s">
        <v>272</v>
      </c>
    </row>
    <row r="2" spans="1:10" ht="16.8" hidden="1" outlineLevel="1">
      <c r="A2" s="673" t="s">
        <v>406</v>
      </c>
      <c r="B2" s="673"/>
      <c r="C2" s="673"/>
      <c r="D2" s="673"/>
      <c r="E2" s="673"/>
      <c r="F2" s="673"/>
      <c r="G2" s="673"/>
      <c r="H2" s="673"/>
      <c r="I2" s="673"/>
      <c r="J2" s="673"/>
    </row>
    <row r="3" spans="1:10" ht="16.8" hidden="1" outlineLevel="1">
      <c r="A3" s="673" t="s">
        <v>407</v>
      </c>
      <c r="B3" s="673"/>
      <c r="C3" s="673"/>
      <c r="D3" s="673"/>
      <c r="E3" s="673"/>
      <c r="F3" s="673"/>
      <c r="G3" s="673"/>
      <c r="H3" s="673"/>
      <c r="I3" s="673"/>
      <c r="J3" s="673"/>
    </row>
    <row r="4" spans="1:10" hidden="1" outlineLevel="1"/>
    <row r="5" spans="1:10" s="161" customFormat="1" ht="15.6" collapsed="1">
      <c r="A5" s="654" t="s">
        <v>275</v>
      </c>
      <c r="B5" s="654" t="s">
        <v>42</v>
      </c>
      <c r="C5" s="654" t="s">
        <v>276</v>
      </c>
      <c r="D5" s="654" t="s">
        <v>277</v>
      </c>
      <c r="E5" s="654" t="s">
        <v>265</v>
      </c>
      <c r="F5" s="654"/>
      <c r="G5" s="654"/>
      <c r="H5" s="654"/>
      <c r="I5" s="654" t="s">
        <v>267</v>
      </c>
      <c r="J5" s="654" t="s">
        <v>269</v>
      </c>
    </row>
    <row r="6" spans="1:10" s="161" customFormat="1" ht="62.4">
      <c r="A6" s="654"/>
      <c r="B6" s="654"/>
      <c r="C6" s="654"/>
      <c r="D6" s="654"/>
      <c r="E6" s="7" t="s">
        <v>221</v>
      </c>
      <c r="F6" s="7" t="s">
        <v>474</v>
      </c>
      <c r="G6" s="7" t="s">
        <v>266</v>
      </c>
      <c r="H6" s="7" t="s">
        <v>268</v>
      </c>
      <c r="I6" s="654"/>
      <c r="J6" s="654"/>
    </row>
    <row r="7" spans="1:10" s="163" customFormat="1" ht="15.6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 t="s">
        <v>231</v>
      </c>
      <c r="I7" s="7">
        <v>9</v>
      </c>
      <c r="J7" s="7" t="s">
        <v>270</v>
      </c>
    </row>
    <row r="8" spans="1:10" ht="15.6" hidden="1" outlineLevel="1">
      <c r="A8" s="165" t="s">
        <v>23</v>
      </c>
      <c r="B8" s="166" t="s">
        <v>408</v>
      </c>
      <c r="C8" s="205"/>
      <c r="D8" s="195"/>
      <c r="E8" s="195"/>
      <c r="F8" s="195"/>
      <c r="G8" s="195"/>
      <c r="H8" s="195"/>
      <c r="I8" s="195"/>
      <c r="J8" s="195"/>
    </row>
    <row r="9" spans="1:10" ht="15.6" hidden="1" outlineLevel="1">
      <c r="A9" s="177" t="s">
        <v>21</v>
      </c>
      <c r="B9" s="178" t="s">
        <v>409</v>
      </c>
      <c r="C9" s="177"/>
      <c r="D9" s="157"/>
      <c r="E9" s="157"/>
      <c r="F9" s="157"/>
      <c r="G9" s="157"/>
      <c r="H9" s="157"/>
      <c r="I9" s="157"/>
      <c r="J9" s="157"/>
    </row>
    <row r="10" spans="1:10" ht="31.2" hidden="1" outlineLevel="1">
      <c r="A10" s="179">
        <v>1</v>
      </c>
      <c r="B10" s="180" t="s">
        <v>410</v>
      </c>
      <c r="C10" s="181" t="s">
        <v>411</v>
      </c>
      <c r="D10" s="157"/>
      <c r="E10" s="157"/>
      <c r="F10" s="157"/>
      <c r="G10" s="157"/>
      <c r="H10" s="157"/>
      <c r="I10" s="157"/>
      <c r="J10" s="157"/>
    </row>
    <row r="11" spans="1:10" ht="15.6" hidden="1" outlineLevel="1">
      <c r="A11" s="179">
        <v>2</v>
      </c>
      <c r="B11" s="180" t="s">
        <v>412</v>
      </c>
      <c r="C11" s="181" t="s">
        <v>126</v>
      </c>
      <c r="D11" s="157"/>
      <c r="E11" s="157"/>
      <c r="F11" s="157"/>
      <c r="G11" s="157"/>
      <c r="H11" s="157"/>
      <c r="I11" s="157"/>
      <c r="J11" s="157"/>
    </row>
    <row r="12" spans="1:10" ht="15.6" hidden="1" outlineLevel="1">
      <c r="A12" s="179">
        <v>3</v>
      </c>
      <c r="B12" s="180" t="s">
        <v>413</v>
      </c>
      <c r="C12" s="181" t="s">
        <v>126</v>
      </c>
      <c r="D12" s="157"/>
      <c r="E12" s="157"/>
      <c r="F12" s="157"/>
      <c r="G12" s="157"/>
      <c r="H12" s="157"/>
      <c r="I12" s="157"/>
      <c r="J12" s="157"/>
    </row>
    <row r="13" spans="1:10" ht="15.6" hidden="1" outlineLevel="1">
      <c r="A13" s="179">
        <v>4</v>
      </c>
      <c r="B13" s="180" t="s">
        <v>414</v>
      </c>
      <c r="C13" s="181"/>
      <c r="D13" s="157"/>
      <c r="E13" s="157"/>
      <c r="F13" s="157"/>
      <c r="G13" s="157"/>
      <c r="H13" s="157"/>
      <c r="I13" s="157"/>
      <c r="J13" s="157"/>
    </row>
    <row r="14" spans="1:10" ht="15.6" hidden="1" outlineLevel="1">
      <c r="A14" s="179">
        <v>5</v>
      </c>
      <c r="B14" s="180" t="s">
        <v>415</v>
      </c>
      <c r="C14" s="181" t="s">
        <v>126</v>
      </c>
      <c r="D14" s="157"/>
      <c r="E14" s="157"/>
      <c r="F14" s="157"/>
      <c r="G14" s="157"/>
      <c r="H14" s="157"/>
      <c r="I14" s="157"/>
      <c r="J14" s="157"/>
    </row>
    <row r="15" spans="1:10" s="159" customFormat="1" ht="31.2" hidden="1" outlineLevel="1">
      <c r="A15" s="182"/>
      <c r="B15" s="183" t="s">
        <v>416</v>
      </c>
      <c r="C15" s="184"/>
      <c r="D15" s="158"/>
      <c r="E15" s="158"/>
      <c r="F15" s="158"/>
      <c r="G15" s="158"/>
      <c r="H15" s="158"/>
      <c r="I15" s="158"/>
      <c r="J15" s="158"/>
    </row>
    <row r="16" spans="1:10" s="159" customFormat="1" ht="15.6" hidden="1" outlineLevel="1">
      <c r="A16" s="182"/>
      <c r="B16" s="183" t="s">
        <v>417</v>
      </c>
      <c r="C16" s="184"/>
      <c r="D16" s="158"/>
      <c r="E16" s="158"/>
      <c r="F16" s="158"/>
      <c r="G16" s="158"/>
      <c r="H16" s="158"/>
      <c r="I16" s="158"/>
      <c r="J16" s="158"/>
    </row>
    <row r="17" spans="1:10" s="159" customFormat="1" ht="31.2" hidden="1" outlineLevel="1">
      <c r="A17" s="182"/>
      <c r="B17" s="183" t="s">
        <v>418</v>
      </c>
      <c r="C17" s="184"/>
      <c r="D17" s="158"/>
      <c r="E17" s="158"/>
      <c r="F17" s="158"/>
      <c r="G17" s="158"/>
      <c r="H17" s="158"/>
      <c r="I17" s="158"/>
      <c r="J17" s="158"/>
    </row>
    <row r="18" spans="1:10" ht="15.6" hidden="1" outlineLevel="1">
      <c r="A18" s="185" t="s">
        <v>22</v>
      </c>
      <c r="B18" s="186" t="s">
        <v>419</v>
      </c>
      <c r="C18" s="177"/>
      <c r="D18" s="157"/>
      <c r="E18" s="157"/>
      <c r="F18" s="157"/>
      <c r="G18" s="157"/>
      <c r="H18" s="157"/>
      <c r="I18" s="157"/>
      <c r="J18" s="157"/>
    </row>
    <row r="19" spans="1:10" ht="31.2" hidden="1" outlineLevel="1">
      <c r="A19" s="179">
        <v>1</v>
      </c>
      <c r="B19" s="187" t="s">
        <v>420</v>
      </c>
      <c r="C19" s="181" t="s">
        <v>411</v>
      </c>
      <c r="D19" s="157"/>
      <c r="E19" s="157"/>
      <c r="F19" s="157"/>
      <c r="G19" s="157"/>
      <c r="H19" s="157"/>
      <c r="I19" s="157"/>
      <c r="J19" s="157"/>
    </row>
    <row r="20" spans="1:10" s="159" customFormat="1" ht="31.2" hidden="1" outlineLevel="1">
      <c r="A20" s="188"/>
      <c r="B20" s="189" t="s">
        <v>421</v>
      </c>
      <c r="C20" s="184"/>
      <c r="D20" s="158"/>
      <c r="E20" s="158"/>
      <c r="F20" s="158"/>
      <c r="G20" s="158"/>
      <c r="H20" s="158"/>
      <c r="I20" s="158"/>
      <c r="J20" s="158"/>
    </row>
    <row r="21" spans="1:10" ht="31.2" hidden="1" outlineLevel="1">
      <c r="A21" s="156">
        <v>2</v>
      </c>
      <c r="B21" s="38" t="s">
        <v>422</v>
      </c>
      <c r="C21" s="181" t="s">
        <v>411</v>
      </c>
      <c r="D21" s="157"/>
      <c r="E21" s="157"/>
      <c r="F21" s="157"/>
      <c r="G21" s="157"/>
      <c r="H21" s="157"/>
      <c r="I21" s="157"/>
      <c r="J21" s="157"/>
    </row>
    <row r="22" spans="1:10" ht="31.2" hidden="1" outlineLevel="1">
      <c r="A22" s="156">
        <v>3</v>
      </c>
      <c r="B22" s="38" t="s">
        <v>423</v>
      </c>
      <c r="C22" s="181" t="s">
        <v>411</v>
      </c>
      <c r="D22" s="157"/>
      <c r="E22" s="157"/>
      <c r="F22" s="157"/>
      <c r="G22" s="157"/>
      <c r="H22" s="157"/>
      <c r="I22" s="157"/>
      <c r="J22" s="157"/>
    </row>
    <row r="23" spans="1:10" s="159" customFormat="1" ht="31.2" hidden="1" outlineLevel="1">
      <c r="A23" s="172"/>
      <c r="B23" s="189" t="s">
        <v>424</v>
      </c>
      <c r="C23" s="184"/>
      <c r="D23" s="158"/>
      <c r="E23" s="158"/>
      <c r="F23" s="158"/>
      <c r="G23" s="158"/>
      <c r="H23" s="158"/>
      <c r="I23" s="158"/>
      <c r="J23" s="158"/>
    </row>
    <row r="24" spans="1:10" ht="31.2" hidden="1" outlineLevel="1">
      <c r="A24" s="156">
        <v>4</v>
      </c>
      <c r="B24" s="38" t="s">
        <v>425</v>
      </c>
      <c r="C24" s="181" t="s">
        <v>411</v>
      </c>
      <c r="D24" s="157"/>
      <c r="E24" s="157"/>
      <c r="F24" s="157"/>
      <c r="G24" s="157"/>
      <c r="H24" s="157"/>
      <c r="I24" s="157"/>
      <c r="J24" s="157"/>
    </row>
    <row r="25" spans="1:10" ht="31.2" hidden="1" outlineLevel="1">
      <c r="A25" s="156">
        <v>5</v>
      </c>
      <c r="B25" s="180" t="s">
        <v>426</v>
      </c>
      <c r="C25" s="181" t="s">
        <v>411</v>
      </c>
      <c r="D25" s="157"/>
      <c r="E25" s="157"/>
      <c r="F25" s="157"/>
      <c r="G25" s="157"/>
      <c r="H25" s="157"/>
      <c r="I25" s="157"/>
      <c r="J25" s="157"/>
    </row>
    <row r="26" spans="1:10" ht="15.6" hidden="1" outlineLevel="1">
      <c r="A26" s="156">
        <v>6</v>
      </c>
      <c r="B26" s="180" t="s">
        <v>427</v>
      </c>
      <c r="C26" s="181"/>
      <c r="D26" s="157"/>
      <c r="E26" s="157"/>
      <c r="F26" s="157"/>
      <c r="G26" s="157"/>
      <c r="H26" s="157"/>
      <c r="I26" s="157"/>
      <c r="J26" s="157"/>
    </row>
    <row r="27" spans="1:10" ht="15.6" hidden="1" outlineLevel="1">
      <c r="A27" s="156">
        <v>7</v>
      </c>
      <c r="B27" s="180" t="s">
        <v>428</v>
      </c>
      <c r="C27" s="1" t="s">
        <v>45</v>
      </c>
      <c r="D27" s="157"/>
      <c r="E27" s="157"/>
      <c r="F27" s="157"/>
      <c r="G27" s="157"/>
      <c r="H27" s="157"/>
      <c r="I27" s="157"/>
      <c r="J27" s="157"/>
    </row>
    <row r="28" spans="1:10" ht="15.6" hidden="1" outlineLevel="1">
      <c r="A28" s="156">
        <v>8</v>
      </c>
      <c r="B28" s="180" t="s">
        <v>429</v>
      </c>
      <c r="C28" s="181" t="s">
        <v>126</v>
      </c>
      <c r="D28" s="157"/>
      <c r="E28" s="157"/>
      <c r="F28" s="157"/>
      <c r="G28" s="157"/>
      <c r="H28" s="157"/>
      <c r="I28" s="157"/>
      <c r="J28" s="157"/>
    </row>
    <row r="29" spans="1:10" ht="15.6" hidden="1" outlineLevel="1">
      <c r="A29" s="156">
        <v>9</v>
      </c>
      <c r="B29" s="180" t="s">
        <v>430</v>
      </c>
      <c r="C29" s="181" t="s">
        <v>126</v>
      </c>
      <c r="D29" s="157"/>
      <c r="E29" s="157"/>
      <c r="F29" s="157"/>
      <c r="G29" s="157"/>
      <c r="H29" s="157"/>
      <c r="I29" s="157"/>
      <c r="J29" s="157"/>
    </row>
    <row r="30" spans="1:10" ht="31.2" hidden="1" outlineLevel="1">
      <c r="A30" s="156"/>
      <c r="B30" s="187" t="s">
        <v>431</v>
      </c>
      <c r="C30" s="181"/>
      <c r="D30" s="157"/>
      <c r="E30" s="157"/>
      <c r="F30" s="157"/>
      <c r="G30" s="157"/>
      <c r="H30" s="157"/>
      <c r="I30" s="157"/>
      <c r="J30" s="157"/>
    </row>
    <row r="31" spans="1:10" ht="15.6" hidden="1" outlineLevel="1">
      <c r="A31" s="156"/>
      <c r="B31" s="187" t="s">
        <v>243</v>
      </c>
      <c r="C31" s="181"/>
      <c r="D31" s="157"/>
      <c r="E31" s="157"/>
      <c r="F31" s="157"/>
      <c r="G31" s="157"/>
      <c r="H31" s="157"/>
      <c r="I31" s="157"/>
      <c r="J31" s="157"/>
    </row>
    <row r="32" spans="1:10" ht="15.6" hidden="1" outlineLevel="1">
      <c r="A32" s="156"/>
      <c r="B32" s="187" t="s">
        <v>432</v>
      </c>
      <c r="C32" s="181"/>
      <c r="D32" s="157"/>
      <c r="E32" s="157"/>
      <c r="F32" s="157"/>
      <c r="G32" s="157"/>
      <c r="H32" s="157"/>
      <c r="I32" s="157"/>
      <c r="J32" s="157"/>
    </row>
    <row r="33" spans="1:10" ht="15.6" hidden="1" outlineLevel="1">
      <c r="A33" s="156"/>
      <c r="B33" s="187" t="s">
        <v>433</v>
      </c>
      <c r="C33" s="181"/>
      <c r="D33" s="157"/>
      <c r="E33" s="157"/>
      <c r="F33" s="157"/>
      <c r="G33" s="157"/>
      <c r="H33" s="157"/>
      <c r="I33" s="157"/>
      <c r="J33" s="157"/>
    </row>
    <row r="34" spans="1:10" ht="15.6" hidden="1" outlineLevel="1">
      <c r="A34" s="156"/>
      <c r="B34" s="187" t="s">
        <v>414</v>
      </c>
      <c r="C34" s="181"/>
      <c r="D34" s="157"/>
      <c r="E34" s="157"/>
      <c r="F34" s="157"/>
      <c r="G34" s="157"/>
      <c r="H34" s="157"/>
      <c r="I34" s="157"/>
      <c r="J34" s="157"/>
    </row>
    <row r="35" spans="1:10" ht="15.6" hidden="1" outlineLevel="1">
      <c r="A35" s="156"/>
      <c r="B35" s="187" t="s">
        <v>434</v>
      </c>
      <c r="C35" s="181"/>
      <c r="D35" s="157"/>
      <c r="E35" s="157"/>
      <c r="F35" s="157"/>
      <c r="G35" s="157"/>
      <c r="H35" s="157"/>
      <c r="I35" s="157"/>
      <c r="J35" s="157"/>
    </row>
    <row r="36" spans="1:10" ht="15.6" hidden="1" outlineLevel="1">
      <c r="A36" s="156"/>
      <c r="B36" s="187" t="s">
        <v>435</v>
      </c>
      <c r="C36" s="181"/>
      <c r="D36" s="157"/>
      <c r="E36" s="157"/>
      <c r="F36" s="157"/>
      <c r="G36" s="157"/>
      <c r="H36" s="157"/>
      <c r="I36" s="157"/>
      <c r="J36" s="157"/>
    </row>
    <row r="37" spans="1:10" ht="31.2" hidden="1" outlineLevel="1">
      <c r="A37" s="156"/>
      <c r="B37" s="187" t="s">
        <v>436</v>
      </c>
      <c r="C37" s="181"/>
      <c r="D37" s="157"/>
      <c r="E37" s="157"/>
      <c r="F37" s="157"/>
      <c r="G37" s="157"/>
      <c r="H37" s="157"/>
      <c r="I37" s="157"/>
      <c r="J37" s="157"/>
    </row>
    <row r="38" spans="1:10" s="151" customFormat="1" ht="15.6" collapsed="1">
      <c r="A38" s="8"/>
      <c r="B38" s="12" t="s">
        <v>437</v>
      </c>
      <c r="C38" s="8"/>
      <c r="D38" s="126"/>
      <c r="E38" s="126"/>
      <c r="F38" s="126"/>
      <c r="G38" s="126"/>
      <c r="H38" s="126"/>
      <c r="I38" s="126"/>
      <c r="J38" s="126"/>
    </row>
    <row r="39" spans="1:10" ht="16.5" customHeight="1">
      <c r="A39" s="190" t="s">
        <v>21</v>
      </c>
      <c r="B39" s="191" t="s">
        <v>438</v>
      </c>
      <c r="C39" s="190"/>
      <c r="D39" s="10"/>
      <c r="E39" s="10"/>
      <c r="F39" s="10"/>
      <c r="G39" s="10"/>
      <c r="H39" s="10"/>
      <c r="I39" s="10"/>
      <c r="J39" s="10"/>
    </row>
    <row r="40" spans="1:10" s="159" customFormat="1" ht="19.5" customHeight="1">
      <c r="A40" s="206">
        <v>1</v>
      </c>
      <c r="B40" s="207" t="s">
        <v>461</v>
      </c>
      <c r="C40" s="206" t="s">
        <v>438</v>
      </c>
      <c r="D40" s="10">
        <v>6</v>
      </c>
      <c r="E40" s="10">
        <v>9</v>
      </c>
      <c r="F40" s="10">
        <v>8</v>
      </c>
      <c r="G40" s="10">
        <v>9</v>
      </c>
      <c r="H40" s="48">
        <f t="shared" ref="H40:H44" si="0">IFERROR(G40/D40%,"")</f>
        <v>150</v>
      </c>
      <c r="I40" s="10">
        <v>11</v>
      </c>
      <c r="J40" s="48">
        <f t="shared" ref="J40:J44" si="1">IFERROR(I40/G40%,"")</f>
        <v>122.22222222222223</v>
      </c>
    </row>
    <row r="41" spans="1:10" ht="19.5" customHeight="1">
      <c r="A41" s="206"/>
      <c r="B41" s="192" t="s">
        <v>43</v>
      </c>
      <c r="C41" s="206"/>
      <c r="D41" s="10"/>
      <c r="E41" s="10"/>
      <c r="F41" s="10"/>
      <c r="G41" s="10"/>
      <c r="H41" s="48" t="str">
        <f t="shared" si="0"/>
        <v/>
      </c>
      <c r="I41" s="10"/>
      <c r="J41" s="10"/>
    </row>
    <row r="42" spans="1:10" s="159" customFormat="1" ht="19.5" customHeight="1">
      <c r="A42" s="208" t="s">
        <v>65</v>
      </c>
      <c r="B42" s="207" t="s">
        <v>439</v>
      </c>
      <c r="C42" s="206" t="s">
        <v>438</v>
      </c>
      <c r="D42" s="10">
        <v>3</v>
      </c>
      <c r="E42" s="10">
        <v>3</v>
      </c>
      <c r="F42" s="10">
        <v>3</v>
      </c>
      <c r="G42" s="10">
        <v>3</v>
      </c>
      <c r="H42" s="48">
        <f t="shared" si="0"/>
        <v>100</v>
      </c>
      <c r="I42" s="10">
        <v>3</v>
      </c>
      <c r="J42" s="48">
        <f t="shared" si="1"/>
        <v>100</v>
      </c>
    </row>
    <row r="43" spans="1:10" ht="19.5" customHeight="1">
      <c r="A43" s="208" t="s">
        <v>65</v>
      </c>
      <c r="B43" s="207" t="s">
        <v>440</v>
      </c>
      <c r="C43" s="206" t="s">
        <v>438</v>
      </c>
      <c r="D43" s="10"/>
      <c r="E43" s="10"/>
      <c r="F43" s="10"/>
      <c r="G43" s="10"/>
      <c r="H43" s="10"/>
      <c r="I43" s="10"/>
      <c r="J43" s="10"/>
    </row>
    <row r="44" spans="1:10" s="159" customFormat="1" ht="19.5" customHeight="1">
      <c r="A44" s="206">
        <v>2</v>
      </c>
      <c r="B44" s="207" t="s">
        <v>441</v>
      </c>
      <c r="C44" s="206" t="s">
        <v>45</v>
      </c>
      <c r="D44" s="10">
        <v>89</v>
      </c>
      <c r="E44" s="10">
        <v>110</v>
      </c>
      <c r="F44" s="10">
        <v>110</v>
      </c>
      <c r="G44" s="10">
        <v>111</v>
      </c>
      <c r="H44" s="48">
        <f t="shared" si="0"/>
        <v>124.71910112359551</v>
      </c>
      <c r="I44" s="10">
        <v>132</v>
      </c>
      <c r="J44" s="48">
        <f t="shared" si="1"/>
        <v>118.91891891891891</v>
      </c>
    </row>
    <row r="45" spans="1:10" ht="19.5" hidden="1" customHeight="1" outlineLevel="1">
      <c r="A45" s="206">
        <v>3</v>
      </c>
      <c r="B45" s="207" t="s">
        <v>442</v>
      </c>
      <c r="C45" s="206" t="s">
        <v>45</v>
      </c>
      <c r="D45" s="10"/>
      <c r="E45" s="10"/>
      <c r="F45" s="10"/>
      <c r="G45" s="10"/>
      <c r="H45" s="10"/>
      <c r="I45" s="10"/>
      <c r="J45" s="10"/>
    </row>
    <row r="46" spans="1:10" s="159" customFormat="1" ht="29.25" hidden="1" customHeight="1" outlineLevel="1">
      <c r="A46" s="206"/>
      <c r="B46" s="192" t="s">
        <v>443</v>
      </c>
      <c r="C46" s="206" t="s">
        <v>45</v>
      </c>
      <c r="D46" s="10"/>
      <c r="E46" s="10"/>
      <c r="F46" s="10"/>
      <c r="G46" s="10"/>
      <c r="H46" s="10"/>
      <c r="I46" s="10"/>
      <c r="J46" s="10"/>
    </row>
    <row r="47" spans="1:10" s="159" customFormat="1" ht="19.5" hidden="1" customHeight="1" outlineLevel="1">
      <c r="A47" s="206">
        <v>4</v>
      </c>
      <c r="B47" s="207" t="s">
        <v>444</v>
      </c>
      <c r="C47" s="206" t="s">
        <v>126</v>
      </c>
      <c r="D47" s="10"/>
      <c r="E47" s="10"/>
      <c r="F47" s="10"/>
      <c r="G47" s="10"/>
      <c r="H47" s="10"/>
      <c r="I47" s="10"/>
      <c r="J47" s="10"/>
    </row>
    <row r="48" spans="1:10" s="159" customFormat="1" ht="19.5" hidden="1" customHeight="1" outlineLevel="1">
      <c r="A48" s="206"/>
      <c r="B48" s="212" t="s">
        <v>445</v>
      </c>
      <c r="C48" s="193" t="s">
        <v>126</v>
      </c>
      <c r="D48" s="10"/>
      <c r="E48" s="10"/>
      <c r="F48" s="10"/>
      <c r="G48" s="10"/>
      <c r="H48" s="10"/>
      <c r="I48" s="10"/>
      <c r="J48" s="10"/>
    </row>
    <row r="49" spans="1:10" s="194" customFormat="1" ht="19.5" hidden="1" customHeight="1" outlineLevel="1">
      <c r="A49" s="206">
        <v>5</v>
      </c>
      <c r="B49" s="209" t="s">
        <v>446</v>
      </c>
      <c r="C49" s="206" t="s">
        <v>126</v>
      </c>
      <c r="D49" s="225"/>
      <c r="E49" s="225"/>
      <c r="F49" s="225"/>
      <c r="G49" s="225"/>
      <c r="H49" s="225"/>
      <c r="I49" s="225"/>
      <c r="J49" s="225"/>
    </row>
    <row r="50" spans="1:10" ht="19.5" hidden="1" customHeight="1" outlineLevel="1">
      <c r="A50" s="190" t="s">
        <v>22</v>
      </c>
      <c r="B50" s="191" t="s">
        <v>447</v>
      </c>
      <c r="C50" s="206"/>
      <c r="D50" s="10"/>
      <c r="E50" s="10"/>
      <c r="F50" s="10"/>
      <c r="G50" s="10"/>
      <c r="H50" s="10"/>
      <c r="I50" s="10"/>
      <c r="J50" s="10"/>
    </row>
    <row r="51" spans="1:10" ht="31.2" hidden="1" outlineLevel="1">
      <c r="A51" s="208" t="s">
        <v>65</v>
      </c>
      <c r="B51" s="207" t="s">
        <v>448</v>
      </c>
      <c r="C51" s="206" t="s">
        <v>447</v>
      </c>
      <c r="D51" s="10"/>
      <c r="E51" s="10"/>
      <c r="F51" s="10"/>
      <c r="G51" s="10"/>
      <c r="H51" s="10"/>
      <c r="I51" s="10"/>
      <c r="J51" s="10"/>
    </row>
    <row r="52" spans="1:10" s="159" customFormat="1" ht="31.2" hidden="1" outlineLevel="1">
      <c r="A52" s="206"/>
      <c r="B52" s="210" t="s">
        <v>449</v>
      </c>
      <c r="C52" s="206" t="s">
        <v>447</v>
      </c>
      <c r="D52" s="10"/>
      <c r="E52" s="10"/>
      <c r="F52" s="10"/>
      <c r="G52" s="10"/>
      <c r="H52" s="10"/>
      <c r="I52" s="10"/>
      <c r="J52" s="10"/>
    </row>
    <row r="53" spans="1:10" ht="15.6" collapsed="1">
      <c r="A53" s="190" t="s">
        <v>22</v>
      </c>
      <c r="B53" s="191" t="s">
        <v>450</v>
      </c>
      <c r="C53" s="190"/>
      <c r="D53" s="10"/>
      <c r="E53" s="10"/>
      <c r="F53" s="10"/>
      <c r="G53" s="10"/>
      <c r="H53" s="10"/>
      <c r="I53" s="10"/>
      <c r="J53" s="10"/>
    </row>
    <row r="54" spans="1:10" ht="19.5" customHeight="1">
      <c r="A54" s="206">
        <v>1</v>
      </c>
      <c r="B54" s="207" t="s">
        <v>451</v>
      </c>
      <c r="C54" s="206" t="s">
        <v>452</v>
      </c>
      <c r="D54" s="10">
        <v>10</v>
      </c>
      <c r="E54" s="10">
        <v>14</v>
      </c>
      <c r="F54" s="10">
        <v>10</v>
      </c>
      <c r="G54" s="10">
        <f>E54</f>
        <v>14</v>
      </c>
      <c r="H54" s="48">
        <f t="shared" ref="H54:H56" si="2">IFERROR(G54/D54%,"")</f>
        <v>140</v>
      </c>
      <c r="I54" s="10">
        <v>20</v>
      </c>
      <c r="J54" s="48">
        <f t="shared" ref="J54:J56" si="3">IFERROR(I54/G54%,"")</f>
        <v>142.85714285714283</v>
      </c>
    </row>
    <row r="55" spans="1:10" s="159" customFormat="1" ht="19.5" customHeight="1">
      <c r="A55" s="206"/>
      <c r="B55" s="207" t="s">
        <v>453</v>
      </c>
      <c r="C55" s="206" t="s">
        <v>452</v>
      </c>
      <c r="D55" s="10">
        <v>10</v>
      </c>
      <c r="E55" s="10">
        <v>14</v>
      </c>
      <c r="F55" s="10">
        <v>10</v>
      </c>
      <c r="G55" s="10">
        <f>E55</f>
        <v>14</v>
      </c>
      <c r="H55" s="48">
        <f t="shared" si="2"/>
        <v>140</v>
      </c>
      <c r="I55" s="10">
        <v>20</v>
      </c>
      <c r="J55" s="48">
        <f t="shared" si="3"/>
        <v>142.85714285714283</v>
      </c>
    </row>
    <row r="56" spans="1:10" ht="19.5" customHeight="1">
      <c r="A56" s="206">
        <v>2</v>
      </c>
      <c r="B56" s="207" t="s">
        <v>454</v>
      </c>
      <c r="C56" s="206" t="s">
        <v>455</v>
      </c>
      <c r="D56" s="10">
        <v>47</v>
      </c>
      <c r="E56" s="10">
        <f>E55*5</f>
        <v>70</v>
      </c>
      <c r="F56" s="10">
        <v>47</v>
      </c>
      <c r="G56" s="10">
        <f>E56</f>
        <v>70</v>
      </c>
      <c r="H56" s="48">
        <f t="shared" si="2"/>
        <v>148.93617021276597</v>
      </c>
      <c r="I56" s="10">
        <f>I55*5</f>
        <v>100</v>
      </c>
      <c r="J56" s="48">
        <f t="shared" si="3"/>
        <v>142.85714285714286</v>
      </c>
    </row>
    <row r="57" spans="1:10" ht="15.6">
      <c r="A57" s="82"/>
      <c r="B57" s="82"/>
      <c r="C57" s="82"/>
      <c r="D57" s="222"/>
      <c r="E57" s="222"/>
      <c r="F57" s="222"/>
      <c r="G57" s="222"/>
      <c r="H57" s="222"/>
      <c r="I57" s="222"/>
      <c r="J57" s="222"/>
    </row>
  </sheetData>
  <mergeCells count="9">
    <mergeCell ref="A2:J2"/>
    <mergeCell ref="A3:J3"/>
    <mergeCell ref="A5:A6"/>
    <mergeCell ref="B5:B6"/>
    <mergeCell ref="C5:C6"/>
    <mergeCell ref="D5:D6"/>
    <mergeCell ref="E5:H5"/>
    <mergeCell ref="I5:I6"/>
    <mergeCell ref="J5:J6"/>
  </mergeCells>
  <pageMargins left="0.39370078740157483" right="0.19685039370078741" top="0.59055118110236227" bottom="0.39370078740157483" header="0.31496062992125984" footer="0.19685039370078741"/>
  <pageSetup paperSize="9" scale="8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F0"/>
    <pageSetUpPr fitToPage="1"/>
  </sheetPr>
  <dimension ref="A1:M183"/>
  <sheetViews>
    <sheetView topLeftCell="A5" zoomScale="85" zoomScaleNormal="85" zoomScaleSheetLayoutView="85" workbookViewId="0">
      <pane xSplit="2" ySplit="3" topLeftCell="C8" activePane="bottomRight" state="frozen"/>
      <selection activeCell="G25" sqref="G25"/>
      <selection pane="topRight" activeCell="G25" sqref="G25"/>
      <selection pane="bottomLeft" activeCell="G25" sqref="G25"/>
      <selection pane="bottomRight" activeCell="G25" sqref="G25"/>
    </sheetView>
  </sheetViews>
  <sheetFormatPr defaultColWidth="9.109375" defaultRowHeight="15.6" outlineLevelRow="1" outlineLevelCol="1"/>
  <cols>
    <col min="1" max="1" width="5.5546875" style="6" customWidth="1"/>
    <col min="2" max="2" width="39.109375" style="2" customWidth="1"/>
    <col min="3" max="3" width="12.5546875" style="6" customWidth="1"/>
    <col min="4" max="5" width="12.109375" style="2" hidden="1" customWidth="1" outlineLevel="1"/>
    <col min="6" max="6" width="13.6640625" style="2" customWidth="1" collapsed="1"/>
    <col min="7" max="10" width="13.6640625" style="2" customWidth="1"/>
    <col min="11" max="11" width="12.44140625" style="2" customWidth="1"/>
    <col min="12" max="12" width="10" style="2" bestFit="1" customWidth="1"/>
    <col min="13" max="13" width="13.109375" style="2" bestFit="1" customWidth="1"/>
    <col min="14" max="16384" width="9.109375" style="2"/>
  </cols>
  <sheetData>
    <row r="1" spans="1:12" ht="17.399999999999999">
      <c r="A1" s="676" t="s">
        <v>212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</row>
    <row r="2" spans="1:12" ht="17.399999999999999">
      <c r="A2" s="676" t="s">
        <v>218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</row>
    <row r="3" spans="1:12" ht="18">
      <c r="A3" s="677" t="s">
        <v>213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</row>
    <row r="4" spans="1:12" ht="9" customHeight="1"/>
    <row r="5" spans="1:12" ht="27" customHeight="1">
      <c r="A5" s="651" t="s">
        <v>32</v>
      </c>
      <c r="B5" s="651" t="s">
        <v>42</v>
      </c>
      <c r="C5" s="651" t="s">
        <v>4</v>
      </c>
      <c r="D5" s="651" t="s">
        <v>154</v>
      </c>
      <c r="E5" s="651" t="s">
        <v>182</v>
      </c>
      <c r="F5" s="651" t="s">
        <v>223</v>
      </c>
      <c r="G5" s="651" t="s">
        <v>155</v>
      </c>
      <c r="H5" s="651" t="s">
        <v>224</v>
      </c>
      <c r="I5" s="681" t="s">
        <v>226</v>
      </c>
      <c r="J5" s="682"/>
      <c r="K5" s="651" t="s">
        <v>46</v>
      </c>
    </row>
    <row r="6" spans="1:12" ht="37.5" customHeight="1">
      <c r="A6" s="653"/>
      <c r="B6" s="653"/>
      <c r="C6" s="653"/>
      <c r="D6" s="653"/>
      <c r="E6" s="653"/>
      <c r="F6" s="653"/>
      <c r="G6" s="653"/>
      <c r="H6" s="653"/>
      <c r="I6" s="121" t="s">
        <v>221</v>
      </c>
      <c r="J6" s="121" t="s">
        <v>222</v>
      </c>
      <c r="K6" s="653"/>
    </row>
    <row r="7" spans="1:12">
      <c r="A7" s="7">
        <v>1</v>
      </c>
      <c r="B7" s="7">
        <v>2</v>
      </c>
      <c r="C7" s="7">
        <v>3</v>
      </c>
      <c r="D7" s="7"/>
      <c r="E7" s="7"/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</row>
    <row r="8" spans="1:12" ht="15" customHeight="1">
      <c r="A8" s="102"/>
      <c r="B8" s="103" t="s">
        <v>68</v>
      </c>
      <c r="C8" s="102"/>
      <c r="D8" s="102"/>
      <c r="E8" s="102"/>
      <c r="F8" s="102"/>
      <c r="G8" s="102"/>
      <c r="H8" s="102"/>
      <c r="I8" s="104"/>
      <c r="J8" s="104"/>
      <c r="K8" s="110"/>
    </row>
    <row r="9" spans="1:12" ht="16.5" customHeight="1" collapsed="1">
      <c r="A9" s="8" t="s">
        <v>23</v>
      </c>
      <c r="B9" s="123" t="s">
        <v>127</v>
      </c>
      <c r="C9" s="9"/>
      <c r="D9" s="124"/>
      <c r="E9" s="124"/>
      <c r="F9" s="124"/>
      <c r="G9" s="124"/>
      <c r="H9" s="124"/>
      <c r="I9" s="53"/>
      <c r="J9" s="53"/>
      <c r="K9" s="53"/>
      <c r="L9" s="11"/>
    </row>
    <row r="10" spans="1:12" s="15" customFormat="1" ht="17.25" customHeight="1">
      <c r="A10" s="8" t="s">
        <v>21</v>
      </c>
      <c r="B10" s="12" t="s">
        <v>72</v>
      </c>
      <c r="C10" s="9" t="s">
        <v>57</v>
      </c>
      <c r="D10" s="13">
        <v>347871</v>
      </c>
      <c r="E10" s="13">
        <v>313038</v>
      </c>
      <c r="F10" s="13">
        <v>16098</v>
      </c>
      <c r="G10" s="13">
        <v>277205</v>
      </c>
      <c r="H10" s="13">
        <v>100990</v>
      </c>
      <c r="I10" s="53">
        <f>IFERROR(H10/G10%,"")</f>
        <v>36.431521797947362</v>
      </c>
      <c r="J10" s="53">
        <f>IFERROR(H10/F10%,"")</f>
        <v>627.34501180270843</v>
      </c>
      <c r="K10" s="69"/>
      <c r="L10" s="14"/>
    </row>
    <row r="11" spans="1:12" ht="15.75" customHeight="1">
      <c r="A11" s="16" t="s">
        <v>65</v>
      </c>
      <c r="B11" s="17" t="s">
        <v>214</v>
      </c>
      <c r="C11" s="18" t="s">
        <v>57</v>
      </c>
      <c r="D11" s="19">
        <v>90496</v>
      </c>
      <c r="E11" s="19">
        <v>104622</v>
      </c>
      <c r="F11" s="19">
        <v>14258</v>
      </c>
      <c r="G11" s="19">
        <v>82860</v>
      </c>
      <c r="H11" s="19">
        <v>29601</v>
      </c>
      <c r="I11" s="48">
        <f t="shared" ref="I11:I74" si="0">IFERROR(H11/G11%,"")</f>
        <v>35.724112961622012</v>
      </c>
      <c r="J11" s="48">
        <f t="shared" ref="J11:J74" si="1">IFERROR(H11/F11%,"")</f>
        <v>207.60976294010379</v>
      </c>
      <c r="K11" s="3"/>
      <c r="L11" s="11"/>
    </row>
    <row r="12" spans="1:12" s="34" customFormat="1" ht="17.25" customHeight="1">
      <c r="A12" s="58"/>
      <c r="B12" s="27" t="s">
        <v>215</v>
      </c>
      <c r="C12" s="33" t="s">
        <v>57</v>
      </c>
      <c r="D12" s="59">
        <v>84999</v>
      </c>
      <c r="E12" s="59">
        <v>71796</v>
      </c>
      <c r="F12" s="59">
        <v>10048</v>
      </c>
      <c r="G12" s="59">
        <v>70788</v>
      </c>
      <c r="H12" s="59">
        <v>23624</v>
      </c>
      <c r="I12" s="71">
        <f t="shared" si="0"/>
        <v>33.372888060123188</v>
      </c>
      <c r="J12" s="48">
        <f t="shared" si="1"/>
        <v>235.11146496815286</v>
      </c>
      <c r="K12" s="70"/>
      <c r="L12" s="11"/>
    </row>
    <row r="13" spans="1:12" s="15" customFormat="1">
      <c r="A13" s="8" t="s">
        <v>22</v>
      </c>
      <c r="B13" s="12" t="s">
        <v>74</v>
      </c>
      <c r="C13" s="9" t="s">
        <v>57</v>
      </c>
      <c r="D13" s="13">
        <v>308217</v>
      </c>
      <c r="E13" s="13">
        <v>300633</v>
      </c>
      <c r="F13" s="13">
        <v>52777</v>
      </c>
      <c r="G13" s="13">
        <v>265133</v>
      </c>
      <c r="H13" s="13">
        <v>57166</v>
      </c>
      <c r="I13" s="53">
        <f t="shared" si="0"/>
        <v>21.561254163004982</v>
      </c>
      <c r="J13" s="53">
        <f t="shared" si="1"/>
        <v>108.316122553385</v>
      </c>
      <c r="K13" s="69"/>
      <c r="L13" s="14"/>
    </row>
    <row r="14" spans="1:12">
      <c r="A14" s="16" t="s">
        <v>65</v>
      </c>
      <c r="B14" s="17" t="s">
        <v>75</v>
      </c>
      <c r="C14" s="18" t="s">
        <v>57</v>
      </c>
      <c r="D14" s="19">
        <v>239615</v>
      </c>
      <c r="E14" s="19">
        <v>264543</v>
      </c>
      <c r="F14" s="19">
        <v>52777</v>
      </c>
      <c r="G14" s="19">
        <v>232779</v>
      </c>
      <c r="H14" s="19">
        <v>56857</v>
      </c>
      <c r="I14" s="48">
        <f t="shared" si="0"/>
        <v>24.425313279978006</v>
      </c>
      <c r="J14" s="48">
        <f t="shared" si="1"/>
        <v>107.73064024101409</v>
      </c>
      <c r="K14" s="3"/>
      <c r="L14" s="14"/>
    </row>
    <row r="15" spans="1:12" ht="20.25" customHeight="1">
      <c r="A15" s="8" t="s">
        <v>24</v>
      </c>
      <c r="B15" s="12" t="s">
        <v>77</v>
      </c>
      <c r="C15" s="21"/>
      <c r="D15" s="22"/>
      <c r="E15" s="22"/>
      <c r="F15" s="22"/>
      <c r="G15" s="22"/>
      <c r="H15" s="22"/>
      <c r="I15" s="53" t="str">
        <f t="shared" si="0"/>
        <v/>
      </c>
      <c r="J15" s="53" t="str">
        <f t="shared" si="1"/>
        <v/>
      </c>
      <c r="K15" s="53"/>
    </row>
    <row r="16" spans="1:12" ht="20.25" customHeight="1">
      <c r="A16" s="1"/>
      <c r="B16" s="17" t="s">
        <v>169</v>
      </c>
      <c r="C16" s="1" t="s">
        <v>20</v>
      </c>
      <c r="D16" s="26">
        <f>D17+D67</f>
        <v>10269.33</v>
      </c>
      <c r="E16" s="26">
        <f>E17+E67</f>
        <v>10478.800000000001</v>
      </c>
      <c r="F16" s="26">
        <f>F17+F67</f>
        <v>10259</v>
      </c>
      <c r="G16" s="26">
        <f>G17+G67</f>
        <v>10519.1</v>
      </c>
      <c r="H16" s="26">
        <f>H17+H67</f>
        <v>10447</v>
      </c>
      <c r="I16" s="48">
        <f t="shared" si="0"/>
        <v>99.314580144689188</v>
      </c>
      <c r="J16" s="48">
        <f t="shared" si="1"/>
        <v>101.8325372843357</v>
      </c>
      <c r="K16" s="3"/>
    </row>
    <row r="17" spans="1:12" ht="17.25" customHeight="1">
      <c r="A17" s="8" t="s">
        <v>21</v>
      </c>
      <c r="B17" s="12" t="s">
        <v>190</v>
      </c>
      <c r="C17" s="8" t="s">
        <v>20</v>
      </c>
      <c r="D17" s="24">
        <f>D18+D47+D54+D50+D63</f>
        <v>732.03</v>
      </c>
      <c r="E17" s="24">
        <f>E18+E47+E54+E50+E63</f>
        <v>756.7</v>
      </c>
      <c r="F17" s="24">
        <f>F18+F47+F54+F50+F63</f>
        <v>721.7</v>
      </c>
      <c r="G17" s="24">
        <f>G18+G47+G54+G50+G63</f>
        <v>747</v>
      </c>
      <c r="H17" s="24">
        <f>H18+H47+H54+H50+H63</f>
        <v>740.9</v>
      </c>
      <c r="I17" s="53">
        <f t="shared" si="0"/>
        <v>99.183400267737611</v>
      </c>
      <c r="J17" s="53">
        <f t="shared" si="1"/>
        <v>102.66038520160731</v>
      </c>
      <c r="K17" s="3"/>
      <c r="L17" s="63"/>
    </row>
    <row r="18" spans="1:12" ht="17.25" customHeight="1">
      <c r="A18" s="1">
        <v>1</v>
      </c>
      <c r="B18" s="17" t="s">
        <v>7</v>
      </c>
      <c r="C18" s="1" t="s">
        <v>20</v>
      </c>
      <c r="D18" s="26">
        <f>D23+D38</f>
        <v>625.53</v>
      </c>
      <c r="E18" s="26">
        <f>E23+E38</f>
        <v>609.20000000000005</v>
      </c>
      <c r="F18" s="26">
        <f>F23+F38</f>
        <v>600.70000000000005</v>
      </c>
      <c r="G18" s="26">
        <f>G23+G38</f>
        <v>594</v>
      </c>
      <c r="H18" s="26">
        <f>H23+H38</f>
        <v>599.1</v>
      </c>
      <c r="I18" s="48">
        <f>IFERROR(H18/G18%,"")</f>
        <v>100.85858585858585</v>
      </c>
      <c r="J18" s="48">
        <f t="shared" si="1"/>
        <v>99.733644081904444</v>
      </c>
      <c r="K18" s="3"/>
    </row>
    <row r="19" spans="1:12" ht="17.25" hidden="1" customHeight="1" outlineLevel="1">
      <c r="A19" s="1"/>
      <c r="B19" s="17"/>
      <c r="C19" s="1"/>
      <c r="D19" s="26"/>
      <c r="E19" s="26"/>
      <c r="F19" s="26"/>
      <c r="G19" s="26"/>
      <c r="H19" s="26"/>
      <c r="I19" s="48"/>
      <c r="J19" s="48" t="str">
        <f t="shared" si="1"/>
        <v/>
      </c>
      <c r="K19" s="3"/>
    </row>
    <row r="20" spans="1:12" ht="17.25" hidden="1" customHeight="1" outlineLevel="1">
      <c r="A20" s="1"/>
      <c r="B20" s="27"/>
      <c r="C20" s="1"/>
      <c r="D20" s="26"/>
      <c r="E20" s="26"/>
      <c r="F20" s="26"/>
      <c r="G20" s="26"/>
      <c r="H20" s="26"/>
      <c r="I20" s="53"/>
      <c r="J20" s="48" t="str">
        <f t="shared" si="1"/>
        <v/>
      </c>
      <c r="K20" s="3"/>
    </row>
    <row r="21" spans="1:12" ht="17.25" hidden="1" customHeight="1" outlineLevel="1">
      <c r="A21" s="1"/>
      <c r="B21" s="17"/>
      <c r="C21" s="1"/>
      <c r="D21" s="26"/>
      <c r="E21" s="26"/>
      <c r="F21" s="26"/>
      <c r="G21" s="26"/>
      <c r="H21" s="26"/>
      <c r="I21" s="53"/>
      <c r="J21" s="48" t="str">
        <f t="shared" si="1"/>
        <v/>
      </c>
      <c r="K21" s="3"/>
    </row>
    <row r="22" spans="1:12" ht="17.25" hidden="1" customHeight="1" outlineLevel="1">
      <c r="A22" s="1"/>
      <c r="B22" s="17"/>
      <c r="C22" s="1"/>
      <c r="D22" s="26"/>
      <c r="E22" s="26"/>
      <c r="F22" s="26"/>
      <c r="G22" s="26"/>
      <c r="H22" s="26"/>
      <c r="I22" s="48"/>
      <c r="J22" s="48" t="str">
        <f t="shared" si="1"/>
        <v/>
      </c>
      <c r="K22" s="3"/>
    </row>
    <row r="23" spans="1:12" s="15" customFormat="1" ht="17.25" hidden="1" customHeight="1" outlineLevel="1">
      <c r="A23" s="8" t="s">
        <v>17</v>
      </c>
      <c r="B23" s="36" t="s">
        <v>191</v>
      </c>
      <c r="C23" s="8" t="s">
        <v>20</v>
      </c>
      <c r="D23" s="13">
        <f>D26+D29</f>
        <v>597.30999999999995</v>
      </c>
      <c r="E23" s="13">
        <f>E26+E29</f>
        <v>570.5</v>
      </c>
      <c r="F23" s="13">
        <f>F26+F29</f>
        <v>570.5</v>
      </c>
      <c r="G23" s="13">
        <f>G26+G29</f>
        <v>571</v>
      </c>
      <c r="H23" s="13">
        <f>H26+H29</f>
        <v>573.9</v>
      </c>
      <c r="I23" s="53">
        <f t="shared" si="0"/>
        <v>100.50788091068301</v>
      </c>
      <c r="J23" s="48">
        <f t="shared" si="1"/>
        <v>100.59596844872918</v>
      </c>
      <c r="K23" s="69"/>
    </row>
    <row r="24" spans="1:12" ht="17.25" hidden="1" customHeight="1" outlineLevel="1">
      <c r="A24" s="1"/>
      <c r="B24" s="29" t="s">
        <v>11</v>
      </c>
      <c r="C24" s="1" t="s">
        <v>6</v>
      </c>
      <c r="D24" s="30">
        <f t="shared" ref="D24:H24" si="2">D25/D23*10</f>
        <v>0</v>
      </c>
      <c r="E24" s="30">
        <f t="shared" si="2"/>
        <v>0</v>
      </c>
      <c r="F24" s="30">
        <f t="shared" ref="F24" si="3">F25/F23*10</f>
        <v>0</v>
      </c>
      <c r="G24" s="30">
        <f t="shared" si="2"/>
        <v>0</v>
      </c>
      <c r="H24" s="30">
        <f t="shared" si="2"/>
        <v>0</v>
      </c>
      <c r="I24" s="53" t="str">
        <f t="shared" si="0"/>
        <v/>
      </c>
      <c r="J24" s="48" t="str">
        <f t="shared" si="1"/>
        <v/>
      </c>
      <c r="K24" s="3"/>
    </row>
    <row r="25" spans="1:12" ht="17.25" hidden="1" customHeight="1" outlineLevel="1">
      <c r="A25" s="1"/>
      <c r="B25" s="29" t="s">
        <v>12</v>
      </c>
      <c r="C25" s="1" t="s">
        <v>47</v>
      </c>
      <c r="D25" s="19">
        <f>D28+D31</f>
        <v>0</v>
      </c>
      <c r="E25" s="19">
        <f>E28+E31</f>
        <v>0</v>
      </c>
      <c r="F25" s="19">
        <f>F28+F31</f>
        <v>0</v>
      </c>
      <c r="G25" s="19">
        <f>G28+G31</f>
        <v>0</v>
      </c>
      <c r="H25" s="19">
        <f>H28+H31</f>
        <v>0</v>
      </c>
      <c r="I25" s="53" t="str">
        <f t="shared" si="0"/>
        <v/>
      </c>
      <c r="J25" s="48" t="str">
        <f t="shared" si="1"/>
        <v/>
      </c>
      <c r="K25" s="3"/>
    </row>
    <row r="26" spans="1:12" ht="17.25" customHeight="1" collapsed="1">
      <c r="A26" s="1"/>
      <c r="B26" s="100" t="s">
        <v>192</v>
      </c>
      <c r="C26" s="1" t="s">
        <v>20</v>
      </c>
      <c r="D26" s="19">
        <v>597.30999999999995</v>
      </c>
      <c r="E26" s="119">
        <v>570.5</v>
      </c>
      <c r="F26" s="49">
        <v>570.5</v>
      </c>
      <c r="G26" s="49">
        <v>571</v>
      </c>
      <c r="H26" s="49">
        <v>573.9</v>
      </c>
      <c r="I26" s="48">
        <f t="shared" si="0"/>
        <v>100.50788091068301</v>
      </c>
      <c r="J26" s="48">
        <f t="shared" si="1"/>
        <v>100.59596844872918</v>
      </c>
      <c r="K26" s="3"/>
    </row>
    <row r="27" spans="1:12" ht="17.25" hidden="1" customHeight="1" outlineLevel="1">
      <c r="A27" s="1"/>
      <c r="B27" s="100"/>
      <c r="C27" s="1"/>
      <c r="D27" s="22"/>
      <c r="E27" s="30"/>
      <c r="F27" s="48"/>
      <c r="G27" s="48"/>
      <c r="H27" s="48"/>
      <c r="I27" s="48"/>
      <c r="J27" s="48" t="str">
        <f t="shared" si="1"/>
        <v/>
      </c>
      <c r="K27" s="3"/>
    </row>
    <row r="28" spans="1:12" ht="17.25" hidden="1" customHeight="1" outlineLevel="1">
      <c r="A28" s="1"/>
      <c r="B28" s="101"/>
      <c r="C28" s="1"/>
      <c r="D28" s="19"/>
      <c r="E28" s="19"/>
      <c r="F28" s="19"/>
      <c r="G28" s="19"/>
      <c r="H28" s="19"/>
      <c r="I28" s="48"/>
      <c r="J28" s="48" t="str">
        <f t="shared" si="1"/>
        <v/>
      </c>
      <c r="K28" s="3"/>
    </row>
    <row r="29" spans="1:12" ht="17.25" hidden="1" customHeight="1" outlineLevel="1">
      <c r="A29" s="1"/>
      <c r="B29" s="100"/>
      <c r="C29" s="1"/>
      <c r="D29" s="19"/>
      <c r="E29" s="26"/>
      <c r="F29" s="26"/>
      <c r="G29" s="26"/>
      <c r="H29" s="26"/>
      <c r="I29" s="48"/>
      <c r="J29" s="48" t="str">
        <f t="shared" si="1"/>
        <v/>
      </c>
      <c r="K29" s="3"/>
    </row>
    <row r="30" spans="1:12" ht="17.25" hidden="1" customHeight="1" outlineLevel="1">
      <c r="A30" s="1"/>
      <c r="B30" s="101"/>
      <c r="C30" s="1"/>
      <c r="D30" s="30"/>
      <c r="E30" s="25"/>
      <c r="F30" s="25"/>
      <c r="G30" s="25"/>
      <c r="H30" s="25"/>
      <c r="I30" s="48"/>
      <c r="J30" s="48" t="str">
        <f t="shared" si="1"/>
        <v/>
      </c>
      <c r="K30" s="3"/>
    </row>
    <row r="31" spans="1:12" ht="17.25" hidden="1" customHeight="1" outlineLevel="1">
      <c r="A31" s="1"/>
      <c r="B31" s="101"/>
      <c r="C31" s="1"/>
      <c r="D31" s="19"/>
      <c r="E31" s="26"/>
      <c r="F31" s="26"/>
      <c r="G31" s="26"/>
      <c r="H31" s="26"/>
      <c r="I31" s="48"/>
      <c r="J31" s="48" t="str">
        <f t="shared" si="1"/>
        <v/>
      </c>
      <c r="K31" s="3"/>
    </row>
    <row r="32" spans="1:12" ht="17.25" hidden="1" customHeight="1" outlineLevel="1">
      <c r="A32" s="1"/>
      <c r="B32" s="98"/>
      <c r="C32" s="1"/>
      <c r="D32" s="19"/>
      <c r="E32" s="30"/>
      <c r="F32" s="19"/>
      <c r="G32" s="19"/>
      <c r="H32" s="19"/>
      <c r="I32" s="48"/>
      <c r="J32" s="48" t="str">
        <f t="shared" si="1"/>
        <v/>
      </c>
      <c r="K32" s="3"/>
    </row>
    <row r="33" spans="1:11" ht="17.25" hidden="1" customHeight="1" outlineLevel="1">
      <c r="A33" s="1"/>
      <c r="B33" s="99"/>
      <c r="C33" s="1"/>
      <c r="D33" s="22"/>
      <c r="E33" s="30"/>
      <c r="F33" s="30"/>
      <c r="G33" s="30"/>
      <c r="H33" s="30"/>
      <c r="I33" s="48"/>
      <c r="J33" s="48" t="str">
        <f t="shared" si="1"/>
        <v/>
      </c>
      <c r="K33" s="3"/>
    </row>
    <row r="34" spans="1:11" ht="17.25" hidden="1" customHeight="1" outlineLevel="1">
      <c r="A34" s="1"/>
      <c r="B34" s="99"/>
      <c r="C34" s="1"/>
      <c r="D34" s="19"/>
      <c r="E34" s="19"/>
      <c r="F34" s="19"/>
      <c r="G34" s="19"/>
      <c r="H34" s="19"/>
      <c r="I34" s="48"/>
      <c r="J34" s="48" t="str">
        <f t="shared" si="1"/>
        <v/>
      </c>
      <c r="K34" s="3"/>
    </row>
    <row r="35" spans="1:11" ht="17.25" hidden="1" customHeight="1" outlineLevel="1">
      <c r="A35" s="1"/>
      <c r="B35" s="98"/>
      <c r="C35" s="1"/>
      <c r="D35" s="19"/>
      <c r="E35" s="19"/>
      <c r="F35" s="19"/>
      <c r="G35" s="19"/>
      <c r="H35" s="19"/>
      <c r="I35" s="48"/>
      <c r="J35" s="48" t="str">
        <f t="shared" si="1"/>
        <v/>
      </c>
      <c r="K35" s="3"/>
    </row>
    <row r="36" spans="1:11" ht="17.25" hidden="1" customHeight="1" outlineLevel="1">
      <c r="A36" s="1"/>
      <c r="B36" s="99"/>
      <c r="C36" s="1"/>
      <c r="D36" s="30"/>
      <c r="E36" s="30"/>
      <c r="F36" s="30"/>
      <c r="G36" s="30"/>
      <c r="H36" s="30"/>
      <c r="I36" s="48"/>
      <c r="J36" s="48" t="str">
        <f t="shared" si="1"/>
        <v/>
      </c>
      <c r="K36" s="3"/>
    </row>
    <row r="37" spans="1:11" ht="17.25" hidden="1" customHeight="1" outlineLevel="1">
      <c r="A37" s="1"/>
      <c r="B37" s="99"/>
      <c r="C37" s="1"/>
      <c r="D37" s="19"/>
      <c r="E37" s="19"/>
      <c r="F37" s="19"/>
      <c r="G37" s="19"/>
      <c r="H37" s="19"/>
      <c r="I37" s="48"/>
      <c r="J37" s="48" t="str">
        <f t="shared" si="1"/>
        <v/>
      </c>
      <c r="K37" s="3"/>
    </row>
    <row r="38" spans="1:11" ht="17.25" hidden="1" customHeight="1" outlineLevel="1">
      <c r="A38" s="1" t="s">
        <v>18</v>
      </c>
      <c r="B38" s="29" t="s">
        <v>195</v>
      </c>
      <c r="C38" s="1" t="s">
        <v>20</v>
      </c>
      <c r="D38" s="19">
        <f>D41+D44</f>
        <v>28.22</v>
      </c>
      <c r="E38" s="19">
        <f>E41+E44</f>
        <v>38.700000000000003</v>
      </c>
      <c r="F38" s="19">
        <f>F41+F44</f>
        <v>30.2</v>
      </c>
      <c r="G38" s="19">
        <f>G41+G44</f>
        <v>23</v>
      </c>
      <c r="H38" s="19">
        <f>H41+H44</f>
        <v>25.2</v>
      </c>
      <c r="I38" s="48">
        <f t="shared" si="0"/>
        <v>109.56521739130434</v>
      </c>
      <c r="J38" s="48">
        <f t="shared" si="1"/>
        <v>83.443708609271525</v>
      </c>
      <c r="K38" s="3"/>
    </row>
    <row r="39" spans="1:11" ht="17.25" hidden="1" customHeight="1" outlineLevel="1">
      <c r="A39" s="1"/>
      <c r="B39" s="29" t="s">
        <v>11</v>
      </c>
      <c r="C39" s="1" t="s">
        <v>6</v>
      </c>
      <c r="D39" s="30">
        <f t="shared" ref="D39:H39" si="4">D40/D38*10</f>
        <v>0</v>
      </c>
      <c r="E39" s="30">
        <f t="shared" si="4"/>
        <v>0</v>
      </c>
      <c r="F39" s="30">
        <f t="shared" ref="F39" si="5">F40/F38*10</f>
        <v>0</v>
      </c>
      <c r="G39" s="30">
        <f t="shared" si="4"/>
        <v>0</v>
      </c>
      <c r="H39" s="30">
        <f t="shared" si="4"/>
        <v>0</v>
      </c>
      <c r="I39" s="48" t="str">
        <f t="shared" si="0"/>
        <v/>
      </c>
      <c r="J39" s="48" t="str">
        <f t="shared" si="1"/>
        <v/>
      </c>
      <c r="K39" s="3"/>
    </row>
    <row r="40" spans="1:11" ht="17.25" hidden="1" customHeight="1" outlineLevel="1">
      <c r="A40" s="1"/>
      <c r="B40" s="29" t="s">
        <v>12</v>
      </c>
      <c r="C40" s="1" t="s">
        <v>47</v>
      </c>
      <c r="D40" s="19">
        <f>D43+D46</f>
        <v>0</v>
      </c>
      <c r="E40" s="19">
        <f>E43+E46</f>
        <v>0</v>
      </c>
      <c r="F40" s="19">
        <f>F43+F46</f>
        <v>0</v>
      </c>
      <c r="G40" s="19">
        <f>G43+G46</f>
        <v>0</v>
      </c>
      <c r="H40" s="19">
        <f>H43+H46</f>
        <v>0</v>
      </c>
      <c r="I40" s="48" t="str">
        <f t="shared" si="0"/>
        <v/>
      </c>
      <c r="J40" s="48" t="str">
        <f t="shared" si="1"/>
        <v/>
      </c>
      <c r="K40" s="3"/>
    </row>
    <row r="41" spans="1:11" ht="17.25" customHeight="1" collapsed="1">
      <c r="A41" s="1"/>
      <c r="B41" s="100" t="s">
        <v>208</v>
      </c>
      <c r="C41" s="1" t="s">
        <v>20</v>
      </c>
      <c r="D41" s="26">
        <v>28.22</v>
      </c>
      <c r="E41" s="26">
        <v>38.700000000000003</v>
      </c>
      <c r="F41" s="26">
        <v>30.2</v>
      </c>
      <c r="G41" s="26">
        <v>23</v>
      </c>
      <c r="H41" s="26">
        <v>25.2</v>
      </c>
      <c r="I41" s="48">
        <f t="shared" si="0"/>
        <v>109.56521739130434</v>
      </c>
      <c r="J41" s="48">
        <f t="shared" si="1"/>
        <v>83.443708609271525</v>
      </c>
      <c r="K41" s="3"/>
    </row>
    <row r="42" spans="1:11" ht="17.25" hidden="1" customHeight="1" outlineLevel="1">
      <c r="A42" s="1"/>
      <c r="B42" s="100"/>
      <c r="C42" s="1"/>
      <c r="D42" s="25"/>
      <c r="E42" s="25"/>
      <c r="F42" s="25"/>
      <c r="G42" s="25"/>
      <c r="H42" s="25"/>
      <c r="I42" s="53"/>
      <c r="J42" s="48" t="str">
        <f t="shared" si="1"/>
        <v/>
      </c>
      <c r="K42" s="3"/>
    </row>
    <row r="43" spans="1:11" ht="17.25" hidden="1" customHeight="1" outlineLevel="1">
      <c r="A43" s="1"/>
      <c r="B43" s="101"/>
      <c r="C43" s="1"/>
      <c r="D43" s="26"/>
      <c r="E43" s="26"/>
      <c r="F43" s="26"/>
      <c r="G43" s="26"/>
      <c r="H43" s="26"/>
      <c r="I43" s="53"/>
      <c r="J43" s="48" t="str">
        <f t="shared" si="1"/>
        <v/>
      </c>
      <c r="K43" s="3"/>
    </row>
    <row r="44" spans="1:11" ht="17.25" hidden="1" customHeight="1" outlineLevel="1">
      <c r="A44" s="1"/>
      <c r="B44" s="100"/>
      <c r="C44" s="1"/>
      <c r="D44" s="26"/>
      <c r="E44" s="26"/>
      <c r="F44" s="26"/>
      <c r="G44" s="26"/>
      <c r="H44" s="26"/>
      <c r="I44" s="48"/>
      <c r="J44" s="48" t="str">
        <f t="shared" si="1"/>
        <v/>
      </c>
      <c r="K44" s="3"/>
    </row>
    <row r="45" spans="1:11" ht="17.25" hidden="1" customHeight="1" outlineLevel="1">
      <c r="A45" s="1"/>
      <c r="B45" s="100"/>
      <c r="C45" s="1"/>
      <c r="D45" s="25"/>
      <c r="E45" s="25"/>
      <c r="F45" s="25"/>
      <c r="G45" s="25"/>
      <c r="H45" s="25"/>
      <c r="I45" s="53"/>
      <c r="J45" s="48" t="str">
        <f t="shared" si="1"/>
        <v/>
      </c>
      <c r="K45" s="3"/>
    </row>
    <row r="46" spans="1:11" ht="17.25" hidden="1" customHeight="1" outlineLevel="1">
      <c r="A46" s="1"/>
      <c r="B46" s="101"/>
      <c r="C46" s="1"/>
      <c r="D46" s="26"/>
      <c r="E46" s="26"/>
      <c r="F46" s="26"/>
      <c r="G46" s="26"/>
      <c r="H46" s="26"/>
      <c r="I46" s="53"/>
      <c r="J46" s="48" t="str">
        <f t="shared" si="1"/>
        <v/>
      </c>
      <c r="K46" s="3"/>
    </row>
    <row r="47" spans="1:11" ht="19.5" hidden="1" customHeight="1" outlineLevel="1">
      <c r="A47" s="8"/>
      <c r="B47" s="12"/>
      <c r="C47" s="1"/>
      <c r="D47" s="24"/>
      <c r="E47" s="24"/>
      <c r="F47" s="24"/>
      <c r="G47" s="24"/>
      <c r="H47" s="24"/>
      <c r="I47" s="53"/>
      <c r="J47" s="48" t="str">
        <f t="shared" si="1"/>
        <v/>
      </c>
      <c r="K47" s="3"/>
    </row>
    <row r="48" spans="1:11" ht="19.5" hidden="1" customHeight="1" outlineLevel="1">
      <c r="A48" s="31"/>
      <c r="B48" s="29"/>
      <c r="C48" s="1"/>
      <c r="D48" s="25"/>
      <c r="E48" s="25"/>
      <c r="F48" s="25"/>
      <c r="G48" s="25"/>
      <c r="H48" s="25"/>
      <c r="I48" s="53"/>
      <c r="J48" s="48" t="str">
        <f t="shared" si="1"/>
        <v/>
      </c>
      <c r="K48" s="3"/>
    </row>
    <row r="49" spans="1:11" ht="19.5" hidden="1" customHeight="1" outlineLevel="1">
      <c r="A49" s="31"/>
      <c r="B49" s="29"/>
      <c r="C49" s="1"/>
      <c r="D49" s="26"/>
      <c r="E49" s="26"/>
      <c r="F49" s="26"/>
      <c r="G49" s="26"/>
      <c r="H49" s="26"/>
      <c r="I49" s="53"/>
      <c r="J49" s="48" t="str">
        <f t="shared" si="1"/>
        <v/>
      </c>
      <c r="K49" s="3"/>
    </row>
    <row r="50" spans="1:11" ht="19.5" customHeight="1" collapsed="1">
      <c r="A50" s="1">
        <v>2</v>
      </c>
      <c r="B50" s="17" t="s">
        <v>114</v>
      </c>
      <c r="C50" s="1" t="s">
        <v>20</v>
      </c>
      <c r="D50" s="26">
        <v>9.1999999999999993</v>
      </c>
      <c r="E50" s="26">
        <v>10.5</v>
      </c>
      <c r="F50" s="26">
        <v>10.5</v>
      </c>
      <c r="G50" s="26">
        <v>30</v>
      </c>
      <c r="H50" s="26">
        <v>29.1</v>
      </c>
      <c r="I50" s="48">
        <f t="shared" si="0"/>
        <v>97.000000000000014</v>
      </c>
      <c r="J50" s="48">
        <f t="shared" si="1"/>
        <v>277.14285714285717</v>
      </c>
      <c r="K50" s="3"/>
    </row>
    <row r="51" spans="1:11" ht="19.5" customHeight="1">
      <c r="A51" s="1"/>
      <c r="B51" s="17" t="s">
        <v>53</v>
      </c>
      <c r="C51" s="1" t="s">
        <v>20</v>
      </c>
      <c r="D51" s="26"/>
      <c r="E51" s="26"/>
      <c r="F51" s="26"/>
      <c r="G51" s="26">
        <v>20</v>
      </c>
      <c r="H51" s="26">
        <v>19.100000000000001</v>
      </c>
      <c r="I51" s="48">
        <f t="shared" si="0"/>
        <v>95.5</v>
      </c>
      <c r="J51" s="48" t="str">
        <f t="shared" si="1"/>
        <v/>
      </c>
      <c r="K51" s="3"/>
    </row>
    <row r="52" spans="1:11" ht="19.5" hidden="1" customHeight="1" outlineLevel="1">
      <c r="A52" s="31"/>
      <c r="B52" s="29"/>
      <c r="C52" s="1"/>
      <c r="D52" s="25"/>
      <c r="E52" s="25"/>
      <c r="F52" s="26"/>
      <c r="G52" s="25"/>
      <c r="H52" s="26"/>
      <c r="I52" s="53"/>
      <c r="J52" s="48" t="str">
        <f t="shared" si="1"/>
        <v/>
      </c>
      <c r="K52" s="3"/>
    </row>
    <row r="53" spans="1:11" ht="19.5" hidden="1" customHeight="1" outlineLevel="1">
      <c r="A53" s="31"/>
      <c r="B53" s="29"/>
      <c r="C53" s="1"/>
      <c r="D53" s="26"/>
      <c r="E53" s="26"/>
      <c r="F53" s="26"/>
      <c r="G53" s="26"/>
      <c r="H53" s="26"/>
      <c r="I53" s="53"/>
      <c r="J53" s="48" t="str">
        <f t="shared" si="1"/>
        <v/>
      </c>
      <c r="K53" s="3"/>
    </row>
    <row r="54" spans="1:11" ht="19.5" customHeight="1" collapsed="1">
      <c r="A54" s="1">
        <v>3</v>
      </c>
      <c r="B54" s="17" t="s">
        <v>60</v>
      </c>
      <c r="C54" s="1" t="s">
        <v>20</v>
      </c>
      <c r="D54" s="26">
        <f>D57+D60</f>
        <v>97.3</v>
      </c>
      <c r="E54" s="26">
        <f>E57+E60</f>
        <v>137</v>
      </c>
      <c r="F54" s="26">
        <f>F57+F60</f>
        <v>110.5</v>
      </c>
      <c r="G54" s="26">
        <f>G57+G60</f>
        <v>123</v>
      </c>
      <c r="H54" s="26">
        <f>H57+H60</f>
        <v>112.69999999999999</v>
      </c>
      <c r="I54" s="48">
        <f t="shared" si="0"/>
        <v>91.626016260162601</v>
      </c>
      <c r="J54" s="48">
        <f t="shared" si="1"/>
        <v>101.99095022624434</v>
      </c>
      <c r="K54" s="3"/>
    </row>
    <row r="55" spans="1:11" ht="19.5" hidden="1" customHeight="1" outlineLevel="1">
      <c r="A55" s="31"/>
      <c r="B55" s="29" t="s">
        <v>11</v>
      </c>
      <c r="C55" s="1" t="s">
        <v>6</v>
      </c>
      <c r="D55" s="25">
        <f t="shared" ref="D55:H55" si="6">D56/D54*10</f>
        <v>0</v>
      </c>
      <c r="E55" s="25">
        <f t="shared" si="6"/>
        <v>0</v>
      </c>
      <c r="F55" s="26">
        <f t="shared" ref="F55" si="7">F56/F54*10</f>
        <v>0</v>
      </c>
      <c r="G55" s="25">
        <f t="shared" si="6"/>
        <v>0</v>
      </c>
      <c r="H55" s="26">
        <f t="shared" si="6"/>
        <v>0</v>
      </c>
      <c r="I55" s="53" t="str">
        <f t="shared" si="0"/>
        <v/>
      </c>
      <c r="J55" s="48" t="str">
        <f t="shared" si="1"/>
        <v/>
      </c>
      <c r="K55" s="3"/>
    </row>
    <row r="56" spans="1:11" ht="19.5" hidden="1" customHeight="1" outlineLevel="1">
      <c r="A56" s="31"/>
      <c r="B56" s="29" t="s">
        <v>12</v>
      </c>
      <c r="C56" s="1" t="s">
        <v>47</v>
      </c>
      <c r="D56" s="26">
        <f>D59+D62</f>
        <v>0</v>
      </c>
      <c r="E56" s="26">
        <f>E59+E62</f>
        <v>0</v>
      </c>
      <c r="F56" s="26">
        <f>F59+F62</f>
        <v>0</v>
      </c>
      <c r="G56" s="26">
        <f>G59+G62</f>
        <v>0</v>
      </c>
      <c r="H56" s="26">
        <f>H59+H62</f>
        <v>0</v>
      </c>
      <c r="I56" s="53" t="str">
        <f t="shared" si="0"/>
        <v/>
      </c>
      <c r="J56" s="48" t="str">
        <f t="shared" si="1"/>
        <v/>
      </c>
      <c r="K56" s="3"/>
    </row>
    <row r="57" spans="1:11" ht="19.5" customHeight="1" collapsed="1">
      <c r="A57" s="1"/>
      <c r="B57" s="118" t="s">
        <v>210</v>
      </c>
      <c r="C57" s="18" t="s">
        <v>20</v>
      </c>
      <c r="D57" s="19">
        <v>97.3</v>
      </c>
      <c r="E57" s="19">
        <v>137</v>
      </c>
      <c r="F57" s="23">
        <f>108+2.5</f>
        <v>110.5</v>
      </c>
      <c r="G57" s="19">
        <v>123</v>
      </c>
      <c r="H57" s="23">
        <v>112.69999999999999</v>
      </c>
      <c r="I57" s="48">
        <f t="shared" si="0"/>
        <v>91.626016260162601</v>
      </c>
      <c r="J57" s="48">
        <f t="shared" si="1"/>
        <v>101.99095022624434</v>
      </c>
      <c r="K57" s="3"/>
    </row>
    <row r="58" spans="1:11" ht="19.5" hidden="1" customHeight="1" outlineLevel="1">
      <c r="A58" s="1"/>
      <c r="B58" s="118"/>
      <c r="C58" s="18"/>
      <c r="D58" s="30"/>
      <c r="E58" s="30"/>
      <c r="F58" s="30"/>
      <c r="G58" s="30"/>
      <c r="H58" s="30"/>
      <c r="I58" s="53"/>
      <c r="J58" s="53" t="str">
        <f t="shared" si="1"/>
        <v/>
      </c>
      <c r="K58" s="3"/>
    </row>
    <row r="59" spans="1:11" ht="19.5" hidden="1" customHeight="1" outlineLevel="1">
      <c r="A59" s="1"/>
      <c r="B59" s="118"/>
      <c r="C59" s="18"/>
      <c r="D59" s="19"/>
      <c r="E59" s="19"/>
      <c r="F59" s="19"/>
      <c r="G59" s="19"/>
      <c r="H59" s="19"/>
      <c r="I59" s="53"/>
      <c r="J59" s="53" t="str">
        <f t="shared" si="1"/>
        <v/>
      </c>
      <c r="K59" s="3"/>
    </row>
    <row r="60" spans="1:11" ht="19.5" hidden="1" customHeight="1" outlineLevel="1">
      <c r="A60" s="1"/>
      <c r="B60" s="118"/>
      <c r="C60" s="18"/>
      <c r="D60" s="13"/>
      <c r="E60" s="13"/>
      <c r="F60" s="13"/>
      <c r="G60" s="13"/>
      <c r="H60" s="13"/>
      <c r="I60" s="53"/>
      <c r="J60" s="53" t="str">
        <f t="shared" si="1"/>
        <v/>
      </c>
      <c r="K60" s="3"/>
    </row>
    <row r="61" spans="1:11" ht="19.5" hidden="1" customHeight="1" outlineLevel="1">
      <c r="A61" s="1"/>
      <c r="B61" s="118"/>
      <c r="C61" s="18"/>
      <c r="D61" s="30"/>
      <c r="E61" s="30"/>
      <c r="F61" s="30"/>
      <c r="G61" s="30"/>
      <c r="H61" s="30"/>
      <c r="I61" s="53"/>
      <c r="J61" s="53" t="str">
        <f t="shared" si="1"/>
        <v/>
      </c>
      <c r="K61" s="3"/>
    </row>
    <row r="62" spans="1:11" ht="19.5" hidden="1" customHeight="1" outlineLevel="1">
      <c r="A62" s="1"/>
      <c r="B62" s="118"/>
      <c r="C62" s="18"/>
      <c r="D62" s="19"/>
      <c r="E62" s="19"/>
      <c r="F62" s="19"/>
      <c r="G62" s="19"/>
      <c r="H62" s="19"/>
      <c r="I62" s="53"/>
      <c r="J62" s="53" t="str">
        <f t="shared" si="1"/>
        <v/>
      </c>
      <c r="K62" s="3"/>
    </row>
    <row r="63" spans="1:11" s="15" customFormat="1" hidden="1" outlineLevel="1">
      <c r="A63" s="8"/>
      <c r="B63" s="12"/>
      <c r="C63" s="8"/>
      <c r="D63" s="28"/>
      <c r="E63" s="28"/>
      <c r="F63" s="28"/>
      <c r="G63" s="28"/>
      <c r="H63" s="28"/>
      <c r="I63" s="53"/>
      <c r="J63" s="53" t="str">
        <f t="shared" si="1"/>
        <v/>
      </c>
      <c r="K63" s="69"/>
    </row>
    <row r="64" spans="1:11" ht="19.5" hidden="1" customHeight="1" outlineLevel="1">
      <c r="A64" s="1"/>
      <c r="B64" s="17" t="s">
        <v>170</v>
      </c>
      <c r="C64" s="1" t="s">
        <v>20</v>
      </c>
      <c r="D64" s="25">
        <v>3.7</v>
      </c>
      <c r="E64" s="25">
        <v>4</v>
      </c>
      <c r="F64" s="25">
        <v>2.5</v>
      </c>
      <c r="G64" s="25">
        <v>4</v>
      </c>
      <c r="H64" s="25">
        <v>2.6</v>
      </c>
      <c r="I64" s="53">
        <f t="shared" si="0"/>
        <v>65</v>
      </c>
      <c r="J64" s="53">
        <f t="shared" si="1"/>
        <v>104</v>
      </c>
      <c r="K64" s="3"/>
    </row>
    <row r="65" spans="1:13" ht="19.5" hidden="1" customHeight="1" outlineLevel="1">
      <c r="A65" s="1"/>
      <c r="B65" s="17" t="s">
        <v>171</v>
      </c>
      <c r="C65" s="1" t="s">
        <v>20</v>
      </c>
      <c r="D65" s="25">
        <v>3.8</v>
      </c>
      <c r="E65" s="25">
        <v>4</v>
      </c>
      <c r="F65" s="25">
        <v>1.5</v>
      </c>
      <c r="G65" s="25">
        <v>4</v>
      </c>
      <c r="H65" s="25">
        <v>0.9</v>
      </c>
      <c r="I65" s="53">
        <f t="shared" si="0"/>
        <v>22.5</v>
      </c>
      <c r="J65" s="53">
        <f t="shared" si="1"/>
        <v>60.000000000000007</v>
      </c>
      <c r="K65" s="3"/>
    </row>
    <row r="66" spans="1:13" ht="19.5" hidden="1" customHeight="1" outlineLevel="1">
      <c r="A66" s="1"/>
      <c r="B66" s="17" t="s">
        <v>172</v>
      </c>
      <c r="C66" s="1" t="s">
        <v>20</v>
      </c>
      <c r="D66" s="25"/>
      <c r="E66" s="25">
        <v>23.2</v>
      </c>
      <c r="F66" s="25"/>
      <c r="G66" s="25">
        <v>24</v>
      </c>
      <c r="H66" s="25"/>
      <c r="I66" s="53">
        <f t="shared" si="0"/>
        <v>0</v>
      </c>
      <c r="J66" s="53" t="str">
        <f t="shared" si="1"/>
        <v/>
      </c>
      <c r="K66" s="3"/>
    </row>
    <row r="67" spans="1:13" ht="17.25" customHeight="1" collapsed="1">
      <c r="A67" s="8" t="s">
        <v>22</v>
      </c>
      <c r="B67" s="12" t="s">
        <v>52</v>
      </c>
      <c r="C67" s="8" t="s">
        <v>20</v>
      </c>
      <c r="D67" s="24">
        <f t="shared" ref="D67:H67" si="8">D68+D80+D81</f>
        <v>9537.2999999999993</v>
      </c>
      <c r="E67" s="24">
        <f t="shared" si="8"/>
        <v>9722.1</v>
      </c>
      <c r="F67" s="24">
        <f t="shared" ref="F67" si="9">F68+F80+F81</f>
        <v>9537.2999999999993</v>
      </c>
      <c r="G67" s="24">
        <f t="shared" si="8"/>
        <v>9772.1</v>
      </c>
      <c r="H67" s="24">
        <f t="shared" si="8"/>
        <v>9706.1</v>
      </c>
      <c r="I67" s="53">
        <f t="shared" si="0"/>
        <v>99.324607812036305</v>
      </c>
      <c r="J67" s="53">
        <f t="shared" si="1"/>
        <v>101.76989294664109</v>
      </c>
      <c r="K67" s="3"/>
    </row>
    <row r="68" spans="1:13" ht="17.25" customHeight="1">
      <c r="A68" s="1">
        <v>1</v>
      </c>
      <c r="B68" s="17" t="s">
        <v>199</v>
      </c>
      <c r="C68" s="1" t="s">
        <v>20</v>
      </c>
      <c r="D68" s="26">
        <f t="shared" ref="D68:H68" si="10">D69+D74</f>
        <v>9537.2999999999993</v>
      </c>
      <c r="E68" s="26">
        <f t="shared" si="10"/>
        <v>9722.1</v>
      </c>
      <c r="F68" s="26">
        <f t="shared" ref="F68" si="11">F69+F74</f>
        <v>9537.2999999999993</v>
      </c>
      <c r="G68" s="26">
        <f t="shared" si="10"/>
        <v>9772.1</v>
      </c>
      <c r="H68" s="26">
        <f t="shared" si="10"/>
        <v>9706.1</v>
      </c>
      <c r="I68" s="48">
        <f t="shared" si="0"/>
        <v>99.324607812036305</v>
      </c>
      <c r="J68" s="48">
        <f t="shared" si="1"/>
        <v>101.76989294664109</v>
      </c>
      <c r="K68" s="3"/>
    </row>
    <row r="69" spans="1:13" ht="17.25" customHeight="1">
      <c r="A69" s="1"/>
      <c r="B69" s="17" t="s">
        <v>196</v>
      </c>
      <c r="C69" s="1" t="s">
        <v>20</v>
      </c>
      <c r="D69" s="19">
        <v>1743.8</v>
      </c>
      <c r="E69" s="19">
        <f>D69+E70</f>
        <v>1919.5</v>
      </c>
      <c r="F69" s="19">
        <f>D69</f>
        <v>1743.8</v>
      </c>
      <c r="G69" s="19">
        <f>E69+G70</f>
        <v>1969.5</v>
      </c>
      <c r="H69" s="19">
        <f>E69+H70</f>
        <v>1919.5</v>
      </c>
      <c r="I69" s="48">
        <f t="shared" si="0"/>
        <v>97.461284589997462</v>
      </c>
      <c r="J69" s="48">
        <f t="shared" si="1"/>
        <v>110.07569675421495</v>
      </c>
      <c r="K69" s="3"/>
    </row>
    <row r="70" spans="1:13" ht="17.25" hidden="1" customHeight="1" outlineLevel="1">
      <c r="A70" s="1"/>
      <c r="B70" s="17" t="s">
        <v>53</v>
      </c>
      <c r="C70" s="1" t="s">
        <v>20</v>
      </c>
      <c r="D70" s="30">
        <v>185.9</v>
      </c>
      <c r="E70" s="30">
        <v>175.7</v>
      </c>
      <c r="F70" s="30"/>
      <c r="G70" s="30">
        <v>50</v>
      </c>
      <c r="H70" s="30"/>
      <c r="I70" s="53">
        <f t="shared" si="0"/>
        <v>0</v>
      </c>
      <c r="J70" s="48" t="str">
        <f t="shared" si="1"/>
        <v/>
      </c>
      <c r="K70" s="3"/>
    </row>
    <row r="71" spans="1:13" ht="17.25" hidden="1" customHeight="1" outlineLevel="1">
      <c r="A71" s="1"/>
      <c r="B71" s="17"/>
      <c r="C71" s="1"/>
      <c r="D71" s="19"/>
      <c r="E71" s="19"/>
      <c r="F71" s="19"/>
      <c r="G71" s="19"/>
      <c r="H71" s="19"/>
      <c r="I71" s="53"/>
      <c r="J71" s="48" t="str">
        <f t="shared" si="1"/>
        <v/>
      </c>
      <c r="K71" s="3"/>
      <c r="L71" s="67"/>
    </row>
    <row r="72" spans="1:13" ht="17.25" hidden="1" customHeight="1" outlineLevel="1">
      <c r="A72" s="1"/>
      <c r="B72" s="17"/>
      <c r="C72" s="1"/>
      <c r="D72" s="30"/>
      <c r="E72" s="30"/>
      <c r="F72" s="30"/>
      <c r="G72" s="30"/>
      <c r="H72" s="30"/>
      <c r="I72" s="53"/>
      <c r="J72" s="48" t="str">
        <f t="shared" si="1"/>
        <v/>
      </c>
      <c r="K72" s="3"/>
    </row>
    <row r="73" spans="1:13" ht="17.25" hidden="1" customHeight="1" outlineLevel="1">
      <c r="A73" s="1"/>
      <c r="B73" s="17"/>
      <c r="C73" s="1"/>
      <c r="D73" s="19"/>
      <c r="E73" s="19"/>
      <c r="F73" s="19"/>
      <c r="G73" s="19"/>
      <c r="H73" s="19"/>
      <c r="I73" s="53"/>
      <c r="J73" s="48" t="str">
        <f t="shared" si="1"/>
        <v/>
      </c>
      <c r="K73" s="3"/>
    </row>
    <row r="74" spans="1:13" ht="17.25" customHeight="1" collapsed="1">
      <c r="A74" s="1"/>
      <c r="B74" s="17" t="s">
        <v>197</v>
      </c>
      <c r="C74" s="1" t="s">
        <v>20</v>
      </c>
      <c r="D74" s="19">
        <v>7793.5</v>
      </c>
      <c r="E74" s="19">
        <f>D74+E75-E76</f>
        <v>7802.6</v>
      </c>
      <c r="F74" s="19">
        <f>D74</f>
        <v>7793.5</v>
      </c>
      <c r="G74" s="19">
        <f>E74+G75-G76</f>
        <v>7802.6</v>
      </c>
      <c r="H74" s="19">
        <f>E74+H75-H76</f>
        <v>7786.6</v>
      </c>
      <c r="I74" s="48">
        <f t="shared" si="0"/>
        <v>99.794940148155732</v>
      </c>
      <c r="J74" s="48">
        <f t="shared" si="1"/>
        <v>99.911464682106882</v>
      </c>
      <c r="K74" s="3"/>
      <c r="M74" s="75"/>
    </row>
    <row r="75" spans="1:13" ht="17.25" hidden="1" customHeight="1" outlineLevel="1">
      <c r="A75" s="1"/>
      <c r="B75" s="17" t="s">
        <v>53</v>
      </c>
      <c r="C75" s="1" t="s">
        <v>20</v>
      </c>
      <c r="D75" s="35">
        <v>0</v>
      </c>
      <c r="E75" s="25">
        <v>24.6</v>
      </c>
      <c r="F75" s="35"/>
      <c r="G75" s="35"/>
      <c r="H75" s="35"/>
      <c r="I75" s="53" t="str">
        <f t="shared" ref="I75:I138" si="12">IFERROR(H75/G75%,"")</f>
        <v/>
      </c>
      <c r="J75" s="53" t="str">
        <f t="shared" ref="J75:J138" si="13">IFERROR(H75/F75%,"")</f>
        <v/>
      </c>
      <c r="K75" s="3"/>
    </row>
    <row r="76" spans="1:13" ht="17.25" customHeight="1" collapsed="1">
      <c r="A76" s="1"/>
      <c r="B76" s="17" t="s">
        <v>220</v>
      </c>
      <c r="C76" s="1" t="s">
        <v>20</v>
      </c>
      <c r="D76" s="25">
        <v>81.5</v>
      </c>
      <c r="E76" s="25">
        <v>15.5</v>
      </c>
      <c r="F76" s="35"/>
      <c r="G76" s="35"/>
      <c r="H76" s="25">
        <v>16</v>
      </c>
      <c r="I76" s="53" t="str">
        <f t="shared" si="12"/>
        <v/>
      </c>
      <c r="J76" s="53" t="str">
        <f t="shared" si="13"/>
        <v/>
      </c>
      <c r="K76" s="3"/>
    </row>
    <row r="77" spans="1:13" ht="17.25" hidden="1" customHeight="1" outlineLevel="1">
      <c r="A77" s="1"/>
      <c r="B77" s="17"/>
      <c r="C77" s="1"/>
      <c r="D77" s="19"/>
      <c r="E77" s="19"/>
      <c r="F77" s="19"/>
      <c r="G77" s="19"/>
      <c r="H77" s="19"/>
      <c r="I77" s="53"/>
      <c r="J77" s="53" t="str">
        <f t="shared" si="13"/>
        <v/>
      </c>
      <c r="K77" s="3"/>
    </row>
    <row r="78" spans="1:13" ht="17.25" hidden="1" customHeight="1" outlineLevel="1">
      <c r="A78" s="1"/>
      <c r="B78" s="17"/>
      <c r="C78" s="1"/>
      <c r="D78" s="30"/>
      <c r="E78" s="30"/>
      <c r="F78" s="30"/>
      <c r="G78" s="30"/>
      <c r="H78" s="30"/>
      <c r="I78" s="53"/>
      <c r="J78" s="53" t="str">
        <f t="shared" si="13"/>
        <v/>
      </c>
      <c r="K78" s="3"/>
    </row>
    <row r="79" spans="1:13" ht="17.25" hidden="1" customHeight="1" outlineLevel="1">
      <c r="A79" s="1"/>
      <c r="B79" s="17"/>
      <c r="C79" s="1"/>
      <c r="D79" s="19"/>
      <c r="E79" s="19"/>
      <c r="F79" s="19"/>
      <c r="G79" s="19"/>
      <c r="H79" s="19"/>
      <c r="I79" s="53"/>
      <c r="J79" s="53" t="str">
        <f t="shared" si="13"/>
        <v/>
      </c>
      <c r="K79" s="3"/>
    </row>
    <row r="80" spans="1:13" s="15" customFormat="1" ht="17.25" hidden="1" customHeight="1" outlineLevel="1">
      <c r="A80" s="8"/>
      <c r="B80" s="12"/>
      <c r="C80" s="8"/>
      <c r="D80" s="13"/>
      <c r="E80" s="13"/>
      <c r="F80" s="13"/>
      <c r="G80" s="13"/>
      <c r="H80" s="13"/>
      <c r="I80" s="53"/>
      <c r="J80" s="53" t="str">
        <f t="shared" si="13"/>
        <v/>
      </c>
      <c r="K80" s="69"/>
    </row>
    <row r="81" spans="1:12" s="15" customFormat="1" hidden="1" outlineLevel="1">
      <c r="A81" s="8"/>
      <c r="B81" s="12"/>
      <c r="C81" s="8"/>
      <c r="D81" s="13"/>
      <c r="E81" s="13"/>
      <c r="F81" s="13"/>
      <c r="G81" s="13"/>
      <c r="H81" s="13"/>
      <c r="I81" s="53"/>
      <c r="J81" s="53" t="str">
        <f t="shared" si="13"/>
        <v/>
      </c>
      <c r="K81" s="69"/>
      <c r="L81" s="73"/>
    </row>
    <row r="82" spans="1:12" ht="17.25" hidden="1" customHeight="1" outlineLevel="1">
      <c r="A82" s="1"/>
      <c r="B82" s="17"/>
      <c r="C82" s="1"/>
      <c r="D82" s="30"/>
      <c r="E82" s="30"/>
      <c r="F82" s="30"/>
      <c r="G82" s="30"/>
      <c r="H82" s="30"/>
      <c r="I82" s="53"/>
      <c r="J82" s="53" t="str">
        <f t="shared" si="13"/>
        <v/>
      </c>
      <c r="K82" s="3"/>
    </row>
    <row r="83" spans="1:12" ht="17.25" hidden="1" customHeight="1" outlineLevel="1">
      <c r="A83" s="1"/>
      <c r="B83" s="17"/>
      <c r="C83" s="1"/>
      <c r="D83" s="30"/>
      <c r="E83" s="30"/>
      <c r="F83" s="30"/>
      <c r="G83" s="30"/>
      <c r="H83" s="30"/>
      <c r="I83" s="53"/>
      <c r="J83" s="53" t="str">
        <f t="shared" si="13"/>
        <v/>
      </c>
      <c r="K83" s="3"/>
    </row>
    <row r="84" spans="1:12" ht="17.25" hidden="1" customHeight="1" outlineLevel="1">
      <c r="A84" s="1"/>
      <c r="B84" s="17"/>
      <c r="C84" s="1"/>
      <c r="D84" s="30"/>
      <c r="E84" s="30"/>
      <c r="F84" s="30"/>
      <c r="G84" s="30"/>
      <c r="H84" s="30"/>
      <c r="I84" s="53"/>
      <c r="J84" s="53" t="str">
        <f t="shared" si="13"/>
        <v/>
      </c>
      <c r="K84" s="3"/>
    </row>
    <row r="85" spans="1:12" ht="17.25" hidden="1" customHeight="1" outlineLevel="1">
      <c r="A85" s="1"/>
      <c r="B85" s="17"/>
      <c r="C85" s="1"/>
      <c r="D85" s="30"/>
      <c r="E85" s="30"/>
      <c r="F85" s="30"/>
      <c r="G85" s="30"/>
      <c r="H85" s="30"/>
      <c r="I85" s="53"/>
      <c r="J85" s="53" t="str">
        <f t="shared" si="13"/>
        <v/>
      </c>
      <c r="K85" s="3"/>
    </row>
    <row r="86" spans="1:12" ht="17.25" hidden="1" customHeight="1" outlineLevel="1">
      <c r="A86" s="1"/>
      <c r="B86" s="17"/>
      <c r="C86" s="1"/>
      <c r="D86" s="30"/>
      <c r="E86" s="30"/>
      <c r="F86" s="30"/>
      <c r="G86" s="30"/>
      <c r="H86" s="30"/>
      <c r="I86" s="53"/>
      <c r="J86" s="53" t="str">
        <f t="shared" si="13"/>
        <v/>
      </c>
      <c r="K86" s="3"/>
    </row>
    <row r="87" spans="1:12" ht="18.75" customHeight="1" collapsed="1">
      <c r="A87" s="8" t="s">
        <v>25</v>
      </c>
      <c r="B87" s="12" t="s">
        <v>48</v>
      </c>
      <c r="C87" s="1"/>
      <c r="D87" s="25"/>
      <c r="E87" s="30"/>
      <c r="F87" s="30"/>
      <c r="G87" s="30"/>
      <c r="H87" s="30"/>
      <c r="I87" s="53" t="str">
        <f t="shared" si="12"/>
        <v/>
      </c>
      <c r="J87" s="53" t="str">
        <f t="shared" si="13"/>
        <v/>
      </c>
      <c r="K87" s="3"/>
    </row>
    <row r="88" spans="1:12" ht="18.75" customHeight="1">
      <c r="A88" s="8">
        <v>1</v>
      </c>
      <c r="B88" s="12" t="s">
        <v>198</v>
      </c>
      <c r="C88" s="8" t="s">
        <v>31</v>
      </c>
      <c r="D88" s="24">
        <f>SUM(D89:D91)</f>
        <v>20219</v>
      </c>
      <c r="E88" s="24">
        <f t="shared" ref="E88:H88" si="14">SUM(E89:E91)</f>
        <v>18350</v>
      </c>
      <c r="F88" s="24">
        <f t="shared" ref="F88" si="15">SUM(F89:F91)</f>
        <v>19227</v>
      </c>
      <c r="G88" s="24">
        <f>SUM(G89:G91)</f>
        <v>20650</v>
      </c>
      <c r="H88" s="24">
        <f t="shared" si="14"/>
        <v>19629</v>
      </c>
      <c r="I88" s="53">
        <f t="shared" si="12"/>
        <v>95.055690072639223</v>
      </c>
      <c r="J88" s="53">
        <f t="shared" si="13"/>
        <v>102.09080979872054</v>
      </c>
      <c r="K88" s="69"/>
    </row>
    <row r="89" spans="1:12" ht="18.75" customHeight="1">
      <c r="A89" s="1"/>
      <c r="B89" s="17" t="s">
        <v>117</v>
      </c>
      <c r="C89" s="1" t="s">
        <v>31</v>
      </c>
      <c r="D89" s="26">
        <v>2461</v>
      </c>
      <c r="E89" s="26">
        <v>2550</v>
      </c>
      <c r="F89" s="125">
        <v>2463</v>
      </c>
      <c r="G89" s="26">
        <v>2650</v>
      </c>
      <c r="H89" s="125">
        <v>2497</v>
      </c>
      <c r="I89" s="48">
        <f t="shared" si="12"/>
        <v>94.226415094339629</v>
      </c>
      <c r="J89" s="48">
        <f t="shared" si="13"/>
        <v>101.38043036946813</v>
      </c>
      <c r="K89" s="3"/>
    </row>
    <row r="90" spans="1:12" ht="18.75" customHeight="1">
      <c r="A90" s="1"/>
      <c r="B90" s="17" t="s">
        <v>118</v>
      </c>
      <c r="C90" s="1" t="s">
        <v>31</v>
      </c>
      <c r="D90" s="26">
        <v>4034</v>
      </c>
      <c r="E90" s="26">
        <v>4800</v>
      </c>
      <c r="F90" s="125">
        <v>4688</v>
      </c>
      <c r="G90" s="26">
        <v>5000</v>
      </c>
      <c r="H90" s="125">
        <v>4754</v>
      </c>
      <c r="I90" s="48">
        <f t="shared" si="12"/>
        <v>95.08</v>
      </c>
      <c r="J90" s="48">
        <f t="shared" si="13"/>
        <v>101.40784982935153</v>
      </c>
      <c r="K90" s="3"/>
    </row>
    <row r="91" spans="1:12" ht="18.75" customHeight="1">
      <c r="A91" s="1"/>
      <c r="B91" s="17" t="s">
        <v>119</v>
      </c>
      <c r="C91" s="1" t="s">
        <v>31</v>
      </c>
      <c r="D91" s="26">
        <v>13724</v>
      </c>
      <c r="E91" s="26">
        <v>11000</v>
      </c>
      <c r="F91" s="125">
        <v>12076</v>
      </c>
      <c r="G91" s="26">
        <v>13000</v>
      </c>
      <c r="H91" s="125">
        <v>12378</v>
      </c>
      <c r="I91" s="48">
        <f t="shared" si="12"/>
        <v>95.215384615384622</v>
      </c>
      <c r="J91" s="48">
        <f t="shared" si="13"/>
        <v>102.50082808877112</v>
      </c>
      <c r="K91" s="3"/>
    </row>
    <row r="92" spans="1:12" ht="18.75" customHeight="1">
      <c r="A92" s="8">
        <v>2</v>
      </c>
      <c r="B92" s="36" t="s">
        <v>15</v>
      </c>
      <c r="C92" s="8" t="s">
        <v>31</v>
      </c>
      <c r="D92" s="24">
        <v>77894</v>
      </c>
      <c r="E92" s="24">
        <v>87000</v>
      </c>
      <c r="F92" s="24">
        <v>73787</v>
      </c>
      <c r="G92" s="24">
        <v>87000</v>
      </c>
      <c r="H92" s="24">
        <v>74800</v>
      </c>
      <c r="I92" s="53">
        <f t="shared" si="12"/>
        <v>85.977011494252878</v>
      </c>
      <c r="J92" s="53">
        <f t="shared" si="13"/>
        <v>101.37287055985472</v>
      </c>
      <c r="K92" s="69"/>
    </row>
    <row r="93" spans="1:12" s="15" customFormat="1" ht="18.75" customHeight="1">
      <c r="A93" s="8" t="s">
        <v>26</v>
      </c>
      <c r="B93" s="36" t="s">
        <v>120</v>
      </c>
      <c r="C93" s="8"/>
      <c r="D93" s="24"/>
      <c r="E93" s="24"/>
      <c r="F93" s="24"/>
      <c r="G93" s="24"/>
      <c r="H93" s="24"/>
      <c r="I93" s="53" t="str">
        <f t="shared" si="12"/>
        <v/>
      </c>
      <c r="J93" s="53" t="str">
        <f t="shared" si="13"/>
        <v/>
      </c>
      <c r="K93" s="69"/>
    </row>
    <row r="94" spans="1:12" ht="18.75" customHeight="1">
      <c r="A94" s="1">
        <v>1</v>
      </c>
      <c r="B94" s="29" t="s">
        <v>121</v>
      </c>
      <c r="C94" s="1" t="s">
        <v>20</v>
      </c>
      <c r="D94" s="25">
        <v>85</v>
      </c>
      <c r="E94" s="25">
        <v>85.5</v>
      </c>
      <c r="F94" s="25">
        <v>86</v>
      </c>
      <c r="G94" s="25">
        <v>85.5</v>
      </c>
      <c r="H94" s="25">
        <v>86.1</v>
      </c>
      <c r="I94" s="48">
        <f t="shared" si="12"/>
        <v>100.7017543859649</v>
      </c>
      <c r="J94" s="48">
        <f t="shared" si="13"/>
        <v>100.11627906976744</v>
      </c>
      <c r="K94" s="3"/>
    </row>
    <row r="95" spans="1:12" ht="18.75" customHeight="1">
      <c r="A95" s="1">
        <v>2</v>
      </c>
      <c r="B95" s="29" t="s">
        <v>122</v>
      </c>
      <c r="C95" s="1" t="s">
        <v>47</v>
      </c>
      <c r="D95" s="26">
        <f t="shared" ref="D95:H95" si="16">D96+D97</f>
        <v>427.4</v>
      </c>
      <c r="E95" s="26">
        <f t="shared" si="16"/>
        <v>320</v>
      </c>
      <c r="F95" s="26">
        <f t="shared" ref="F95" si="17">F96+F97</f>
        <v>46.099999999999994</v>
      </c>
      <c r="G95" s="26">
        <f t="shared" si="16"/>
        <v>335</v>
      </c>
      <c r="H95" s="26">
        <f t="shared" si="16"/>
        <v>46.699999999999996</v>
      </c>
      <c r="I95" s="48">
        <f t="shared" si="12"/>
        <v>13.940298507462686</v>
      </c>
      <c r="J95" s="48">
        <f t="shared" si="13"/>
        <v>101.30151843817788</v>
      </c>
      <c r="K95" s="3"/>
    </row>
    <row r="96" spans="1:12" ht="18.75" customHeight="1">
      <c r="A96" s="1"/>
      <c r="B96" s="38" t="s">
        <v>123</v>
      </c>
      <c r="C96" s="1" t="s">
        <v>47</v>
      </c>
      <c r="D96" s="26">
        <v>211.9</v>
      </c>
      <c r="E96" s="26">
        <v>210</v>
      </c>
      <c r="F96" s="26">
        <v>32.9</v>
      </c>
      <c r="G96" s="26">
        <v>210</v>
      </c>
      <c r="H96" s="26">
        <v>33.299999999999997</v>
      </c>
      <c r="I96" s="48">
        <f t="shared" si="12"/>
        <v>15.857142857142856</v>
      </c>
      <c r="J96" s="48">
        <f t="shared" si="13"/>
        <v>101.21580547112463</v>
      </c>
      <c r="K96" s="3"/>
    </row>
    <row r="97" spans="1:13" ht="18.75" customHeight="1">
      <c r="A97" s="1"/>
      <c r="B97" s="38" t="s">
        <v>124</v>
      </c>
      <c r="C97" s="1" t="s">
        <v>47</v>
      </c>
      <c r="D97" s="26">
        <v>215.5</v>
      </c>
      <c r="E97" s="26">
        <v>110</v>
      </c>
      <c r="F97" s="26">
        <v>13.2</v>
      </c>
      <c r="G97" s="26">
        <v>125</v>
      </c>
      <c r="H97" s="26">
        <v>13.4</v>
      </c>
      <c r="I97" s="48">
        <f t="shared" si="12"/>
        <v>10.72</v>
      </c>
      <c r="J97" s="48">
        <f t="shared" si="13"/>
        <v>101.51515151515152</v>
      </c>
      <c r="K97" s="3"/>
    </row>
    <row r="98" spans="1:13" hidden="1" outlineLevel="1">
      <c r="A98" s="39"/>
      <c r="B98" s="40"/>
      <c r="C98" s="39"/>
      <c r="D98" s="10"/>
      <c r="E98" s="10"/>
      <c r="F98" s="10"/>
      <c r="G98" s="10"/>
      <c r="H98" s="10"/>
      <c r="I98" s="53"/>
      <c r="J98" s="53" t="str">
        <f t="shared" si="13"/>
        <v/>
      </c>
      <c r="K98" s="3"/>
    </row>
    <row r="99" spans="1:13" ht="19.5" hidden="1" customHeight="1" outlineLevel="1">
      <c r="A99" s="41"/>
      <c r="B99" s="42"/>
      <c r="C99" s="1"/>
      <c r="D99" s="43"/>
      <c r="E99" s="43"/>
      <c r="F99" s="43"/>
      <c r="G99" s="43"/>
      <c r="H99" s="43"/>
      <c r="I99" s="53"/>
      <c r="J99" s="53" t="str">
        <f t="shared" si="13"/>
        <v/>
      </c>
      <c r="K99" s="3"/>
    </row>
    <row r="100" spans="1:13" ht="17.25" hidden="1" customHeight="1" outlineLevel="1">
      <c r="A100" s="1"/>
      <c r="B100" s="17"/>
      <c r="C100" s="1"/>
      <c r="D100" s="19"/>
      <c r="E100" s="19"/>
      <c r="F100" s="19"/>
      <c r="G100" s="19"/>
      <c r="H100" s="19"/>
      <c r="I100" s="48"/>
      <c r="J100" s="53" t="str">
        <f t="shared" si="13"/>
        <v/>
      </c>
      <c r="K100" s="3"/>
      <c r="L100" s="67"/>
    </row>
    <row r="101" spans="1:13" ht="17.25" hidden="1" customHeight="1" outlineLevel="1">
      <c r="A101" s="1"/>
      <c r="B101" s="17"/>
      <c r="C101" s="1"/>
      <c r="D101" s="19"/>
      <c r="E101" s="19"/>
      <c r="F101" s="19"/>
      <c r="G101" s="19"/>
      <c r="H101" s="19"/>
      <c r="I101" s="53"/>
      <c r="J101" s="53" t="str">
        <f t="shared" si="13"/>
        <v/>
      </c>
      <c r="K101" s="3"/>
    </row>
    <row r="102" spans="1:13" s="15" customFormat="1" collapsed="1">
      <c r="A102" s="8" t="s">
        <v>76</v>
      </c>
      <c r="B102" s="44" t="s">
        <v>80</v>
      </c>
      <c r="C102" s="8"/>
      <c r="D102" s="126"/>
      <c r="E102" s="126"/>
      <c r="F102" s="126"/>
      <c r="G102" s="126"/>
      <c r="H102" s="126"/>
      <c r="I102" s="53" t="str">
        <f t="shared" si="12"/>
        <v/>
      </c>
      <c r="J102" s="53" t="str">
        <f t="shared" si="13"/>
        <v/>
      </c>
      <c r="K102" s="53"/>
    </row>
    <row r="103" spans="1:13" ht="22.5" customHeight="1">
      <c r="A103" s="1">
        <v>1</v>
      </c>
      <c r="B103" s="38" t="s">
        <v>200</v>
      </c>
      <c r="C103" s="1" t="s">
        <v>126</v>
      </c>
      <c r="D103" s="26">
        <v>676693</v>
      </c>
      <c r="E103" s="26">
        <v>708000</v>
      </c>
      <c r="F103" s="26">
        <v>175450</v>
      </c>
      <c r="G103" s="26">
        <v>722000</v>
      </c>
      <c r="H103" s="26">
        <v>190200</v>
      </c>
      <c r="I103" s="48">
        <f t="shared" si="12"/>
        <v>26.343490304709142</v>
      </c>
      <c r="J103" s="48">
        <f t="shared" si="13"/>
        <v>108.40695354801937</v>
      </c>
      <c r="K103" s="3"/>
    </row>
    <row r="104" spans="1:13" ht="24" customHeight="1">
      <c r="A104" s="1">
        <v>2</v>
      </c>
      <c r="B104" s="17" t="s">
        <v>128</v>
      </c>
      <c r="C104" s="1"/>
      <c r="D104" s="10"/>
      <c r="E104" s="10"/>
      <c r="F104" s="10"/>
      <c r="G104" s="10"/>
      <c r="H104" s="10"/>
      <c r="I104" s="48" t="str">
        <f t="shared" si="12"/>
        <v/>
      </c>
      <c r="J104" s="48" t="str">
        <f t="shared" si="13"/>
        <v/>
      </c>
      <c r="K104" s="3"/>
    </row>
    <row r="105" spans="1:13" ht="20.25" customHeight="1">
      <c r="A105" s="1"/>
      <c r="B105" s="17" t="s">
        <v>129</v>
      </c>
      <c r="C105" s="1" t="s">
        <v>40</v>
      </c>
      <c r="D105" s="26">
        <v>40</v>
      </c>
      <c r="E105" s="26">
        <v>42</v>
      </c>
      <c r="F105" s="26">
        <v>11</v>
      </c>
      <c r="G105" s="26">
        <v>40</v>
      </c>
      <c r="H105" s="26">
        <v>12</v>
      </c>
      <c r="I105" s="48">
        <f t="shared" si="12"/>
        <v>30</v>
      </c>
      <c r="J105" s="48">
        <f t="shared" si="13"/>
        <v>109.09090909090909</v>
      </c>
      <c r="K105" s="3"/>
      <c r="M105" s="63"/>
    </row>
    <row r="106" spans="1:13" ht="20.25" customHeight="1">
      <c r="A106" s="1"/>
      <c r="B106" s="17" t="s">
        <v>135</v>
      </c>
      <c r="C106" s="1" t="s">
        <v>40</v>
      </c>
      <c r="D106" s="26">
        <v>35</v>
      </c>
      <c r="E106" s="26">
        <v>30</v>
      </c>
      <c r="F106" s="26">
        <v>8</v>
      </c>
      <c r="G106" s="26">
        <v>40</v>
      </c>
      <c r="H106" s="26">
        <v>9</v>
      </c>
      <c r="I106" s="48">
        <f t="shared" si="12"/>
        <v>22.5</v>
      </c>
      <c r="J106" s="48">
        <f t="shared" si="13"/>
        <v>112.5</v>
      </c>
      <c r="K106" s="3"/>
      <c r="M106" s="63"/>
    </row>
    <row r="107" spans="1:13" ht="20.25" customHeight="1">
      <c r="A107" s="1"/>
      <c r="B107" s="17" t="s">
        <v>130</v>
      </c>
      <c r="C107" s="1" t="s">
        <v>47</v>
      </c>
      <c r="D107" s="26">
        <v>57219</v>
      </c>
      <c r="E107" s="26">
        <v>60000</v>
      </c>
      <c r="F107" s="26">
        <v>8750</v>
      </c>
      <c r="G107" s="26">
        <v>55000</v>
      </c>
      <c r="H107" s="26">
        <v>9000</v>
      </c>
      <c r="I107" s="48">
        <f t="shared" si="12"/>
        <v>16.363636363636363</v>
      </c>
      <c r="J107" s="48">
        <f t="shared" si="13"/>
        <v>102.85714285714286</v>
      </c>
      <c r="K107" s="3"/>
      <c r="M107" s="63"/>
    </row>
    <row r="108" spans="1:13" ht="20.25" customHeight="1">
      <c r="A108" s="1"/>
      <c r="B108" s="17" t="s">
        <v>131</v>
      </c>
      <c r="C108" s="1" t="s">
        <v>47</v>
      </c>
      <c r="D108" s="26">
        <v>12363</v>
      </c>
      <c r="E108" s="26">
        <v>13000</v>
      </c>
      <c r="F108" s="127">
        <v>5000</v>
      </c>
      <c r="G108" s="26">
        <v>12000</v>
      </c>
      <c r="H108" s="127">
        <v>5400</v>
      </c>
      <c r="I108" s="48">
        <f t="shared" si="12"/>
        <v>45</v>
      </c>
      <c r="J108" s="48">
        <f t="shared" si="13"/>
        <v>108</v>
      </c>
      <c r="K108" s="3"/>
      <c r="M108" s="63"/>
    </row>
    <row r="109" spans="1:13" ht="20.25" customHeight="1">
      <c r="A109" s="1"/>
      <c r="B109" s="17" t="s">
        <v>132</v>
      </c>
      <c r="C109" s="1" t="s">
        <v>217</v>
      </c>
      <c r="D109" s="26">
        <v>39713</v>
      </c>
      <c r="E109" s="26">
        <v>41000</v>
      </c>
      <c r="F109" s="127">
        <v>5200</v>
      </c>
      <c r="G109" s="26">
        <v>60000</v>
      </c>
      <c r="H109" s="127">
        <v>5350</v>
      </c>
      <c r="I109" s="48">
        <f t="shared" si="12"/>
        <v>8.9166666666666661</v>
      </c>
      <c r="J109" s="48">
        <f t="shared" si="13"/>
        <v>102.88461538461539</v>
      </c>
      <c r="K109" s="3"/>
      <c r="M109" s="63"/>
    </row>
    <row r="110" spans="1:13" ht="20.25" customHeight="1">
      <c r="A110" s="1"/>
      <c r="B110" s="17" t="s">
        <v>133</v>
      </c>
      <c r="C110" s="1" t="s">
        <v>217</v>
      </c>
      <c r="D110" s="26">
        <v>34500</v>
      </c>
      <c r="E110" s="26">
        <v>35000</v>
      </c>
      <c r="F110" s="26"/>
      <c r="G110" s="26">
        <v>54000</v>
      </c>
      <c r="H110" s="26"/>
      <c r="I110" s="48">
        <f t="shared" si="12"/>
        <v>0</v>
      </c>
      <c r="J110" s="48" t="str">
        <f t="shared" si="13"/>
        <v/>
      </c>
      <c r="K110" s="3"/>
      <c r="M110" s="63"/>
    </row>
    <row r="111" spans="1:13" s="15" customFormat="1">
      <c r="A111" s="8" t="s">
        <v>79</v>
      </c>
      <c r="B111" s="12" t="s">
        <v>201</v>
      </c>
      <c r="C111" s="8"/>
      <c r="D111" s="26"/>
      <c r="E111" s="26"/>
      <c r="F111" s="26"/>
      <c r="G111" s="26"/>
      <c r="H111" s="26"/>
      <c r="I111" s="53" t="str">
        <f t="shared" si="12"/>
        <v/>
      </c>
      <c r="J111" s="53" t="str">
        <f t="shared" si="13"/>
        <v/>
      </c>
      <c r="K111" s="53"/>
    </row>
    <row r="112" spans="1:13" ht="22.5" customHeight="1">
      <c r="A112" s="1">
        <v>1</v>
      </c>
      <c r="B112" s="17" t="s">
        <v>81</v>
      </c>
      <c r="C112" s="1" t="s">
        <v>126</v>
      </c>
      <c r="D112" s="26">
        <v>560310</v>
      </c>
      <c r="E112" s="26">
        <v>595000</v>
      </c>
      <c r="F112" s="26">
        <v>135000</v>
      </c>
      <c r="G112" s="26">
        <v>696000</v>
      </c>
      <c r="H112" s="26">
        <v>149000</v>
      </c>
      <c r="I112" s="48">
        <f>IFERROR(H112/G112%,"")</f>
        <v>21.408045977011493</v>
      </c>
      <c r="J112" s="48">
        <f t="shared" si="13"/>
        <v>110.37037037037037</v>
      </c>
      <c r="K112" s="3"/>
    </row>
    <row r="113" spans="1:13" ht="21.75" customHeight="1">
      <c r="A113" s="84"/>
      <c r="B113" s="105" t="s">
        <v>205</v>
      </c>
      <c r="C113" s="84"/>
      <c r="D113" s="86"/>
      <c r="E113" s="86"/>
      <c r="F113" s="86"/>
      <c r="G113" s="86"/>
      <c r="H113" s="86"/>
      <c r="I113" s="106" t="str">
        <f t="shared" si="12"/>
        <v/>
      </c>
      <c r="J113" s="48" t="str">
        <f t="shared" si="13"/>
        <v/>
      </c>
      <c r="K113" s="3"/>
    </row>
    <row r="114" spans="1:13" s="15" customFormat="1" ht="22.5" customHeight="1">
      <c r="A114" s="8" t="s">
        <v>21</v>
      </c>
      <c r="B114" s="12" t="s">
        <v>147</v>
      </c>
      <c r="C114" s="8"/>
      <c r="D114" s="126"/>
      <c r="E114" s="126"/>
      <c r="F114" s="126"/>
      <c r="G114" s="126"/>
      <c r="H114" s="126"/>
      <c r="I114" s="53" t="str">
        <f t="shared" si="12"/>
        <v/>
      </c>
      <c r="J114" s="53" t="str">
        <f t="shared" si="13"/>
        <v/>
      </c>
      <c r="K114" s="69"/>
    </row>
    <row r="115" spans="1:13" ht="22.5" hidden="1" customHeight="1" outlineLevel="1">
      <c r="A115" s="1">
        <v>1</v>
      </c>
      <c r="B115" s="17" t="s">
        <v>148</v>
      </c>
      <c r="C115" s="1" t="s">
        <v>38</v>
      </c>
      <c r="D115" s="26">
        <v>10520</v>
      </c>
      <c r="E115" s="26">
        <f>D116</f>
        <v>10685</v>
      </c>
      <c r="F115" s="26"/>
      <c r="G115" s="26">
        <f>E116</f>
        <v>11120</v>
      </c>
      <c r="H115" s="26"/>
      <c r="I115" s="53">
        <f t="shared" si="12"/>
        <v>0</v>
      </c>
      <c r="J115" s="48" t="str">
        <f t="shared" si="13"/>
        <v/>
      </c>
      <c r="K115" s="3"/>
      <c r="M115" s="63"/>
    </row>
    <row r="116" spans="1:13" ht="22.5" hidden="1" customHeight="1" outlineLevel="1">
      <c r="A116" s="1">
        <v>2</v>
      </c>
      <c r="B116" s="17" t="s">
        <v>101</v>
      </c>
      <c r="C116" s="1" t="s">
        <v>38</v>
      </c>
      <c r="D116" s="26">
        <v>10685</v>
      </c>
      <c r="E116" s="26">
        <v>11120</v>
      </c>
      <c r="F116" s="26"/>
      <c r="G116" s="26">
        <v>11380</v>
      </c>
      <c r="H116" s="26"/>
      <c r="I116" s="53">
        <f t="shared" si="12"/>
        <v>0</v>
      </c>
      <c r="J116" s="48" t="str">
        <f t="shared" si="13"/>
        <v/>
      </c>
      <c r="K116" s="3"/>
      <c r="L116" s="63"/>
    </row>
    <row r="117" spans="1:13" ht="22.5" customHeight="1" collapsed="1">
      <c r="A117" s="1">
        <v>1</v>
      </c>
      <c r="B117" s="17" t="s">
        <v>58</v>
      </c>
      <c r="C117" s="1" t="s">
        <v>45</v>
      </c>
      <c r="D117" s="26">
        <v>44006</v>
      </c>
      <c r="E117" s="26">
        <f>D118</f>
        <v>45290</v>
      </c>
      <c r="F117" s="26"/>
      <c r="G117" s="26">
        <f>E118</f>
        <v>46404</v>
      </c>
      <c r="H117" s="26"/>
      <c r="I117" s="48">
        <f t="shared" si="12"/>
        <v>0</v>
      </c>
      <c r="J117" s="48" t="str">
        <f t="shared" si="13"/>
        <v/>
      </c>
      <c r="K117" s="3"/>
    </row>
    <row r="118" spans="1:13" ht="22.5" customHeight="1">
      <c r="A118" s="1">
        <v>2</v>
      </c>
      <c r="B118" s="17" t="s">
        <v>59</v>
      </c>
      <c r="C118" s="1" t="s">
        <v>45</v>
      </c>
      <c r="D118" s="26">
        <v>45290</v>
      </c>
      <c r="E118" s="26">
        <v>46404</v>
      </c>
      <c r="F118" s="26"/>
      <c r="G118" s="26">
        <v>47500</v>
      </c>
      <c r="H118" s="26"/>
      <c r="I118" s="48">
        <f t="shared" si="12"/>
        <v>0</v>
      </c>
      <c r="J118" s="48" t="str">
        <f t="shared" si="13"/>
        <v/>
      </c>
      <c r="K118" s="3"/>
    </row>
    <row r="119" spans="1:13" ht="22.5" customHeight="1">
      <c r="A119" s="1">
        <v>3</v>
      </c>
      <c r="B119" s="17" t="s">
        <v>134</v>
      </c>
      <c r="C119" s="1" t="s">
        <v>45</v>
      </c>
      <c r="D119" s="26">
        <f t="shared" ref="D119:H119" si="18">(D117+D118)/2</f>
        <v>44648</v>
      </c>
      <c r="E119" s="26">
        <f t="shared" si="18"/>
        <v>45847</v>
      </c>
      <c r="F119" s="26">
        <f t="shared" ref="F119" si="19">(F117+F118)/2</f>
        <v>0</v>
      </c>
      <c r="G119" s="26">
        <f t="shared" si="18"/>
        <v>46952</v>
      </c>
      <c r="H119" s="26">
        <f t="shared" si="18"/>
        <v>0</v>
      </c>
      <c r="I119" s="48">
        <f t="shared" si="12"/>
        <v>0</v>
      </c>
      <c r="J119" s="48" t="str">
        <f t="shared" si="13"/>
        <v/>
      </c>
      <c r="K119" s="3"/>
    </row>
    <row r="120" spans="1:13" ht="22.5" customHeight="1">
      <c r="A120" s="1">
        <v>4</v>
      </c>
      <c r="B120" s="38" t="s">
        <v>160</v>
      </c>
      <c r="C120" s="18" t="s">
        <v>70</v>
      </c>
      <c r="D120" s="61">
        <v>22.62</v>
      </c>
      <c r="E120" s="61">
        <v>22.92</v>
      </c>
      <c r="F120" s="61"/>
      <c r="G120" s="61">
        <v>22</v>
      </c>
      <c r="H120" s="61"/>
      <c r="I120" s="53">
        <f t="shared" si="12"/>
        <v>0</v>
      </c>
      <c r="J120" s="48" t="str">
        <f t="shared" si="13"/>
        <v/>
      </c>
      <c r="K120" s="3"/>
    </row>
    <row r="121" spans="1:13" s="15" customFormat="1" ht="21" customHeight="1">
      <c r="A121" s="8" t="s">
        <v>22</v>
      </c>
      <c r="B121" s="12" t="s">
        <v>66</v>
      </c>
      <c r="C121" s="8"/>
      <c r="D121" s="47"/>
      <c r="E121" s="47"/>
      <c r="F121" s="47"/>
      <c r="G121" s="47"/>
      <c r="H121" s="47"/>
      <c r="I121" s="53" t="str">
        <f t="shared" si="12"/>
        <v/>
      </c>
      <c r="J121" s="53" t="str">
        <f t="shared" si="13"/>
        <v/>
      </c>
      <c r="K121" s="69"/>
    </row>
    <row r="122" spans="1:13" ht="21" customHeight="1">
      <c r="A122" s="1">
        <v>1</v>
      </c>
      <c r="B122" s="17" t="s">
        <v>161</v>
      </c>
      <c r="C122" s="1" t="s">
        <v>16</v>
      </c>
      <c r="D122" s="48">
        <v>42.86</v>
      </c>
      <c r="E122" s="48">
        <v>43</v>
      </c>
      <c r="F122" s="48"/>
      <c r="G122" s="48">
        <v>44</v>
      </c>
      <c r="H122" s="48"/>
      <c r="I122" s="53">
        <f t="shared" si="12"/>
        <v>0</v>
      </c>
      <c r="J122" s="48" t="str">
        <f t="shared" si="13"/>
        <v/>
      </c>
      <c r="K122" s="3"/>
    </row>
    <row r="123" spans="1:13" ht="21" customHeight="1">
      <c r="A123" s="1"/>
      <c r="B123" s="17" t="s">
        <v>162</v>
      </c>
      <c r="C123" s="1" t="s">
        <v>16</v>
      </c>
      <c r="D123" s="48">
        <v>32</v>
      </c>
      <c r="E123" s="48">
        <v>35</v>
      </c>
      <c r="F123" s="48"/>
      <c r="G123" s="48">
        <v>36</v>
      </c>
      <c r="H123" s="48"/>
      <c r="I123" s="53">
        <f t="shared" si="12"/>
        <v>0</v>
      </c>
      <c r="J123" s="48" t="str">
        <f t="shared" si="13"/>
        <v/>
      </c>
      <c r="K123" s="3"/>
    </row>
    <row r="124" spans="1:13" ht="46.8">
      <c r="A124" s="1">
        <v>2</v>
      </c>
      <c r="B124" s="17" t="s">
        <v>152</v>
      </c>
      <c r="C124" s="1" t="s">
        <v>51</v>
      </c>
      <c r="D124" s="49">
        <f>174+50</f>
        <v>224</v>
      </c>
      <c r="E124" s="49">
        <v>175</v>
      </c>
      <c r="F124" s="49"/>
      <c r="G124" s="49">
        <v>250</v>
      </c>
      <c r="H124" s="49"/>
      <c r="I124" s="53">
        <f t="shared" si="12"/>
        <v>0</v>
      </c>
      <c r="J124" s="48" t="str">
        <f t="shared" si="13"/>
        <v/>
      </c>
      <c r="K124" s="3"/>
    </row>
    <row r="125" spans="1:13" ht="33" customHeight="1">
      <c r="A125" s="1"/>
      <c r="B125" s="17" t="s">
        <v>164</v>
      </c>
      <c r="C125" s="1" t="s">
        <v>165</v>
      </c>
      <c r="D125" s="17">
        <v>111</v>
      </c>
      <c r="E125" s="17">
        <v>115</v>
      </c>
      <c r="F125" s="17"/>
      <c r="G125" s="17">
        <v>120</v>
      </c>
      <c r="H125" s="17"/>
      <c r="I125" s="53">
        <f t="shared" si="12"/>
        <v>0</v>
      </c>
      <c r="J125" s="48" t="str">
        <f t="shared" si="13"/>
        <v/>
      </c>
      <c r="K125" s="3"/>
    </row>
    <row r="126" spans="1:13" ht="24.75" customHeight="1">
      <c r="A126" s="8" t="s">
        <v>25</v>
      </c>
      <c r="B126" s="12" t="s">
        <v>108</v>
      </c>
      <c r="C126" s="1"/>
      <c r="D126" s="49"/>
      <c r="E126" s="49"/>
      <c r="F126" s="49"/>
      <c r="G126" s="49"/>
      <c r="H126" s="49"/>
      <c r="I126" s="53" t="str">
        <f t="shared" si="12"/>
        <v/>
      </c>
      <c r="J126" s="53" t="str">
        <f t="shared" si="13"/>
        <v/>
      </c>
      <c r="K126" s="3"/>
    </row>
    <row r="127" spans="1:13" ht="29.25" customHeight="1">
      <c r="A127" s="50">
        <v>1</v>
      </c>
      <c r="B127" s="51" t="s">
        <v>150</v>
      </c>
      <c r="C127" s="1" t="s">
        <v>16</v>
      </c>
      <c r="D127" s="54" t="s">
        <v>153</v>
      </c>
      <c r="E127" s="74">
        <f>D128-E128</f>
        <v>3.1799999999999997</v>
      </c>
      <c r="F127" s="54"/>
      <c r="G127" s="54" t="s">
        <v>156</v>
      </c>
      <c r="H127" s="54"/>
      <c r="I127" s="53" t="str">
        <f t="shared" si="12"/>
        <v/>
      </c>
      <c r="J127" s="48" t="str">
        <f t="shared" si="13"/>
        <v/>
      </c>
      <c r="K127" s="3"/>
    </row>
    <row r="128" spans="1:13" ht="21" customHeight="1">
      <c r="A128" s="50">
        <v>2</v>
      </c>
      <c r="B128" s="51" t="s">
        <v>163</v>
      </c>
      <c r="C128" s="1" t="s">
        <v>16</v>
      </c>
      <c r="D128" s="66">
        <v>17.32</v>
      </c>
      <c r="E128" s="66">
        <v>14.14</v>
      </c>
      <c r="F128" s="66"/>
      <c r="G128" s="66">
        <f>E128-3</f>
        <v>11.14</v>
      </c>
      <c r="H128" s="66"/>
      <c r="I128" s="48">
        <f t="shared" si="12"/>
        <v>0</v>
      </c>
      <c r="J128" s="48" t="str">
        <f t="shared" si="13"/>
        <v/>
      </c>
      <c r="K128" s="3"/>
      <c r="L128" s="75"/>
    </row>
    <row r="129" spans="1:12" s="15" customFormat="1" ht="20.25" customHeight="1">
      <c r="A129" s="8" t="s">
        <v>26</v>
      </c>
      <c r="B129" s="12" t="s">
        <v>0</v>
      </c>
      <c r="C129" s="8"/>
      <c r="D129" s="126"/>
      <c r="E129" s="126"/>
      <c r="F129" s="126"/>
      <c r="G129" s="126"/>
      <c r="H129" s="126"/>
      <c r="I129" s="53" t="str">
        <f t="shared" si="12"/>
        <v/>
      </c>
      <c r="J129" s="53" t="str">
        <f t="shared" si="13"/>
        <v/>
      </c>
      <c r="K129" s="69"/>
    </row>
    <row r="130" spans="1:12" ht="23.25" customHeight="1">
      <c r="A130" s="1">
        <v>1</v>
      </c>
      <c r="B130" s="17" t="s">
        <v>157</v>
      </c>
      <c r="C130" s="1" t="s">
        <v>1</v>
      </c>
      <c r="D130" s="26">
        <f>SUM(D131:D137)</f>
        <v>13999</v>
      </c>
      <c r="E130" s="26">
        <f>SUM(E131:E137)</f>
        <v>14102</v>
      </c>
      <c r="F130" s="26">
        <f>F131+F135+F136+F137</f>
        <v>13999</v>
      </c>
      <c r="G130" s="26">
        <f>G131+G135+G136+G137</f>
        <v>14530</v>
      </c>
      <c r="H130" s="26">
        <f>H131+H135+H136+H137</f>
        <v>14407</v>
      </c>
      <c r="I130" s="48">
        <f t="shared" si="12"/>
        <v>99.153475567790764</v>
      </c>
      <c r="J130" s="48">
        <f t="shared" si="13"/>
        <v>102.91449389242088</v>
      </c>
      <c r="K130" s="3"/>
    </row>
    <row r="131" spans="1:12" ht="21" hidden="1" customHeight="1" outlineLevel="1">
      <c r="A131" s="1"/>
      <c r="B131" s="17" t="s">
        <v>83</v>
      </c>
      <c r="C131" s="1" t="s">
        <v>1</v>
      </c>
      <c r="D131" s="76">
        <v>4325</v>
      </c>
      <c r="E131" s="76">
        <v>4401</v>
      </c>
      <c r="F131" s="76">
        <f>F132+F134</f>
        <v>4325</v>
      </c>
      <c r="G131" s="76">
        <f>G132+G134</f>
        <v>4430</v>
      </c>
      <c r="H131" s="76">
        <f>H132+H134</f>
        <v>4527</v>
      </c>
      <c r="I131" s="48">
        <f t="shared" si="12"/>
        <v>102.18961625282168</v>
      </c>
      <c r="J131" s="48">
        <f t="shared" si="13"/>
        <v>104.67052023121387</v>
      </c>
      <c r="K131" s="3"/>
      <c r="L131" s="67"/>
    </row>
    <row r="132" spans="1:12" s="34" customFormat="1" ht="21" hidden="1" customHeight="1" outlineLevel="1">
      <c r="A132" s="31"/>
      <c r="B132" s="27" t="s">
        <v>167</v>
      </c>
      <c r="C132" s="1" t="s">
        <v>2</v>
      </c>
      <c r="D132" s="77"/>
      <c r="E132" s="77"/>
      <c r="F132" s="77">
        <v>348</v>
      </c>
      <c r="G132" s="77">
        <v>450</v>
      </c>
      <c r="H132" s="77">
        <v>398</v>
      </c>
      <c r="I132" s="48">
        <f t="shared" si="12"/>
        <v>88.444444444444443</v>
      </c>
      <c r="J132" s="48">
        <f t="shared" si="13"/>
        <v>114.36781609195403</v>
      </c>
      <c r="K132" s="70"/>
      <c r="L132" s="68"/>
    </row>
    <row r="133" spans="1:12" s="34" customFormat="1" ht="21" hidden="1" customHeight="1" outlineLevel="1">
      <c r="A133" s="31"/>
      <c r="B133" s="27" t="s">
        <v>187</v>
      </c>
      <c r="C133" s="1" t="s">
        <v>2</v>
      </c>
      <c r="D133" s="77"/>
      <c r="E133" s="77"/>
      <c r="F133" s="77"/>
      <c r="G133" s="77">
        <v>350</v>
      </c>
      <c r="H133" s="77">
        <v>398</v>
      </c>
      <c r="I133" s="48">
        <f t="shared" si="12"/>
        <v>113.71428571428571</v>
      </c>
      <c r="J133" s="48" t="str">
        <f t="shared" si="13"/>
        <v/>
      </c>
      <c r="K133" s="70"/>
      <c r="L133" s="68"/>
    </row>
    <row r="134" spans="1:12" s="34" customFormat="1" ht="21" hidden="1" customHeight="1" outlineLevel="1">
      <c r="A134" s="31"/>
      <c r="B134" s="27" t="s">
        <v>85</v>
      </c>
      <c r="C134" s="1" t="s">
        <v>2</v>
      </c>
      <c r="D134" s="77"/>
      <c r="E134" s="77"/>
      <c r="F134" s="77">
        <v>3977</v>
      </c>
      <c r="G134" s="77">
        <v>3980</v>
      </c>
      <c r="H134" s="77">
        <v>4129</v>
      </c>
      <c r="I134" s="48">
        <f t="shared" si="12"/>
        <v>103.74371859296483</v>
      </c>
      <c r="J134" s="48">
        <f t="shared" si="13"/>
        <v>103.82197636409353</v>
      </c>
      <c r="K134" s="70"/>
      <c r="L134" s="68"/>
    </row>
    <row r="135" spans="1:12" ht="21" hidden="1" customHeight="1" outlineLevel="1">
      <c r="A135" s="1"/>
      <c r="B135" s="17" t="s">
        <v>104</v>
      </c>
      <c r="C135" s="1" t="s">
        <v>1</v>
      </c>
      <c r="D135" s="76">
        <v>5412</v>
      </c>
      <c r="E135" s="76">
        <v>5400</v>
      </c>
      <c r="F135" s="76">
        <v>5412</v>
      </c>
      <c r="G135" s="76">
        <v>5700</v>
      </c>
      <c r="H135" s="76">
        <v>5515</v>
      </c>
      <c r="I135" s="48">
        <f t="shared" si="12"/>
        <v>96.754385964912274</v>
      </c>
      <c r="J135" s="48">
        <f t="shared" si="13"/>
        <v>101.90317812269032</v>
      </c>
      <c r="K135" s="3"/>
      <c r="L135" s="67"/>
    </row>
    <row r="136" spans="1:12" ht="21" hidden="1" customHeight="1" outlineLevel="1">
      <c r="A136" s="1"/>
      <c r="B136" s="17" t="s">
        <v>105</v>
      </c>
      <c r="C136" s="1" t="s">
        <v>1</v>
      </c>
      <c r="D136" s="76">
        <v>3521</v>
      </c>
      <c r="E136" s="76">
        <v>3560</v>
      </c>
      <c r="F136" s="76">
        <v>3521</v>
      </c>
      <c r="G136" s="76">
        <v>3570</v>
      </c>
      <c r="H136" s="76">
        <v>3558</v>
      </c>
      <c r="I136" s="48">
        <f t="shared" si="12"/>
        <v>99.663865546218474</v>
      </c>
      <c r="J136" s="48">
        <f t="shared" si="13"/>
        <v>101.05083783016188</v>
      </c>
      <c r="K136" s="3"/>
    </row>
    <row r="137" spans="1:12" ht="21" hidden="1" customHeight="1" outlineLevel="1">
      <c r="A137" s="1"/>
      <c r="B137" s="17" t="s">
        <v>137</v>
      </c>
      <c r="C137" s="1" t="s">
        <v>1</v>
      </c>
      <c r="D137" s="76">
        <v>741</v>
      </c>
      <c r="E137" s="76">
        <v>741</v>
      </c>
      <c r="F137" s="76">
        <v>741</v>
      </c>
      <c r="G137" s="76">
        <v>830</v>
      </c>
      <c r="H137" s="76">
        <v>807</v>
      </c>
      <c r="I137" s="48">
        <f t="shared" si="12"/>
        <v>97.228915662650593</v>
      </c>
      <c r="J137" s="48">
        <f t="shared" si="13"/>
        <v>108.90688259109312</v>
      </c>
      <c r="K137" s="3"/>
    </row>
    <row r="138" spans="1:12" s="88" customFormat="1" ht="22.5" hidden="1" customHeight="1" outlineLevel="1">
      <c r="A138" s="84"/>
      <c r="B138" s="85" t="s">
        <v>166</v>
      </c>
      <c r="C138" s="84"/>
      <c r="D138" s="86">
        <f t="shared" ref="D138:H138" si="20">SUM(D140:D144)</f>
        <v>37</v>
      </c>
      <c r="E138" s="86">
        <f t="shared" si="20"/>
        <v>38</v>
      </c>
      <c r="F138" s="86">
        <f t="shared" ref="F138" si="21">SUM(F140:F144)</f>
        <v>37</v>
      </c>
      <c r="G138" s="86">
        <f t="shared" si="20"/>
        <v>38</v>
      </c>
      <c r="H138" s="86">
        <f t="shared" si="20"/>
        <v>38</v>
      </c>
      <c r="I138" s="87">
        <f t="shared" si="12"/>
        <v>100</v>
      </c>
      <c r="J138" s="48">
        <f t="shared" si="13"/>
        <v>102.70270270270271</v>
      </c>
      <c r="K138" s="111"/>
    </row>
    <row r="139" spans="1:12" s="88" customFormat="1" ht="22.5" hidden="1" customHeight="1" outlineLevel="1">
      <c r="A139" s="84"/>
      <c r="B139" s="89" t="s">
        <v>136</v>
      </c>
      <c r="C139" s="84"/>
      <c r="D139" s="86"/>
      <c r="E139" s="86"/>
      <c r="F139" s="86"/>
      <c r="G139" s="86"/>
      <c r="H139" s="86"/>
      <c r="I139" s="87" t="str">
        <f t="shared" ref="I139:I175" si="22">IFERROR(H139/G139%,"")</f>
        <v/>
      </c>
      <c r="J139" s="48" t="str">
        <f t="shared" ref="J139:J175" si="23">IFERROR(H139/F139%,"")</f>
        <v/>
      </c>
      <c r="K139" s="111"/>
    </row>
    <row r="140" spans="1:12" s="88" customFormat="1" ht="22.5" hidden="1" customHeight="1" outlineLevel="1">
      <c r="A140" s="84"/>
      <c r="B140" s="85" t="s">
        <v>138</v>
      </c>
      <c r="C140" s="84" t="s">
        <v>62</v>
      </c>
      <c r="D140" s="86">
        <v>13</v>
      </c>
      <c r="E140" s="86">
        <v>13</v>
      </c>
      <c r="F140" s="86">
        <v>13</v>
      </c>
      <c r="G140" s="86">
        <f>E140</f>
        <v>13</v>
      </c>
      <c r="H140" s="86">
        <f>E140</f>
        <v>13</v>
      </c>
      <c r="I140" s="87">
        <f t="shared" si="22"/>
        <v>100</v>
      </c>
      <c r="J140" s="48">
        <f t="shared" si="23"/>
        <v>100</v>
      </c>
      <c r="K140" s="111"/>
    </row>
    <row r="141" spans="1:12" s="88" customFormat="1" ht="22.5" hidden="1" customHeight="1" outlineLevel="1">
      <c r="A141" s="84"/>
      <c r="B141" s="85" t="s">
        <v>139</v>
      </c>
      <c r="C141" s="84" t="s">
        <v>62</v>
      </c>
      <c r="D141" s="86">
        <v>13</v>
      </c>
      <c r="E141" s="86">
        <v>14</v>
      </c>
      <c r="F141" s="86">
        <v>13</v>
      </c>
      <c r="G141" s="86">
        <f>E141</f>
        <v>14</v>
      </c>
      <c r="H141" s="86">
        <f>E141</f>
        <v>14</v>
      </c>
      <c r="I141" s="87">
        <f t="shared" si="22"/>
        <v>99.999999999999986</v>
      </c>
      <c r="J141" s="48">
        <f t="shared" si="23"/>
        <v>107.69230769230769</v>
      </c>
      <c r="K141" s="111"/>
    </row>
    <row r="142" spans="1:12" s="88" customFormat="1" ht="22.5" hidden="1" customHeight="1" outlineLevel="1">
      <c r="A142" s="84"/>
      <c r="B142" s="85" t="s">
        <v>140</v>
      </c>
      <c r="C142" s="84" t="s">
        <v>62</v>
      </c>
      <c r="D142" s="86">
        <v>9</v>
      </c>
      <c r="E142" s="86">
        <v>9</v>
      </c>
      <c r="F142" s="86">
        <v>9</v>
      </c>
      <c r="G142" s="86">
        <f>E142</f>
        <v>9</v>
      </c>
      <c r="H142" s="86">
        <f>E142</f>
        <v>9</v>
      </c>
      <c r="I142" s="87">
        <f t="shared" si="22"/>
        <v>100</v>
      </c>
      <c r="J142" s="48">
        <f t="shared" si="23"/>
        <v>100</v>
      </c>
      <c r="K142" s="111"/>
    </row>
    <row r="143" spans="1:12" s="88" customFormat="1" ht="22.5" hidden="1" customHeight="1" outlineLevel="1">
      <c r="A143" s="84"/>
      <c r="B143" s="85" t="s">
        <v>141</v>
      </c>
      <c r="C143" s="84" t="s">
        <v>62</v>
      </c>
      <c r="D143" s="86">
        <v>1</v>
      </c>
      <c r="E143" s="86">
        <v>1</v>
      </c>
      <c r="F143" s="86">
        <v>1</v>
      </c>
      <c r="G143" s="86">
        <f>E143</f>
        <v>1</v>
      </c>
      <c r="H143" s="86">
        <f>E143</f>
        <v>1</v>
      </c>
      <c r="I143" s="87">
        <f t="shared" si="22"/>
        <v>100</v>
      </c>
      <c r="J143" s="48">
        <f t="shared" si="23"/>
        <v>100</v>
      </c>
      <c r="K143" s="111"/>
    </row>
    <row r="144" spans="1:12" s="88" customFormat="1" ht="22.5" hidden="1" customHeight="1" outlineLevel="1">
      <c r="A144" s="84"/>
      <c r="B144" s="85" t="s">
        <v>142</v>
      </c>
      <c r="C144" s="84" t="s">
        <v>62</v>
      </c>
      <c r="D144" s="86">
        <v>1</v>
      </c>
      <c r="E144" s="86">
        <v>1</v>
      </c>
      <c r="F144" s="86">
        <v>1</v>
      </c>
      <c r="G144" s="86">
        <f>E144</f>
        <v>1</v>
      </c>
      <c r="H144" s="86">
        <f>E144</f>
        <v>1</v>
      </c>
      <c r="I144" s="87">
        <f t="shared" si="22"/>
        <v>100</v>
      </c>
      <c r="J144" s="48">
        <f t="shared" si="23"/>
        <v>100</v>
      </c>
      <c r="K144" s="111"/>
    </row>
    <row r="145" spans="1:11" s="88" customFormat="1" ht="22.5" hidden="1" customHeight="1" outlineLevel="1">
      <c r="A145" s="84"/>
      <c r="B145" s="85" t="s">
        <v>143</v>
      </c>
      <c r="C145" s="84" t="s">
        <v>62</v>
      </c>
      <c r="D145" s="86">
        <f t="shared" ref="D145:H145" si="24">SUM(D147:D151)</f>
        <v>20</v>
      </c>
      <c r="E145" s="86">
        <f t="shared" si="24"/>
        <v>22</v>
      </c>
      <c r="F145" s="86">
        <f t="shared" ref="F145" si="25">SUM(F147:F151)</f>
        <v>21</v>
      </c>
      <c r="G145" s="86">
        <f t="shared" si="24"/>
        <v>25</v>
      </c>
      <c r="H145" s="86">
        <f t="shared" si="24"/>
        <v>22</v>
      </c>
      <c r="I145" s="87">
        <f t="shared" si="22"/>
        <v>88</v>
      </c>
      <c r="J145" s="48">
        <f t="shared" si="23"/>
        <v>104.76190476190476</v>
      </c>
      <c r="K145" s="111"/>
    </row>
    <row r="146" spans="1:11" s="88" customFormat="1" ht="22.5" hidden="1" customHeight="1" outlineLevel="1">
      <c r="A146" s="84"/>
      <c r="B146" s="89" t="s">
        <v>136</v>
      </c>
      <c r="C146" s="84"/>
      <c r="D146" s="86"/>
      <c r="E146" s="86"/>
      <c r="F146" s="86"/>
      <c r="G146" s="86"/>
      <c r="H146" s="86"/>
      <c r="I146" s="87" t="str">
        <f t="shared" si="22"/>
        <v/>
      </c>
      <c r="J146" s="48" t="str">
        <f t="shared" si="23"/>
        <v/>
      </c>
      <c r="K146" s="111"/>
    </row>
    <row r="147" spans="1:11" s="88" customFormat="1" ht="22.5" hidden="1" customHeight="1" outlineLevel="1">
      <c r="A147" s="84"/>
      <c r="B147" s="85" t="s">
        <v>138</v>
      </c>
      <c r="C147" s="84" t="s">
        <v>62</v>
      </c>
      <c r="D147" s="86">
        <v>5</v>
      </c>
      <c r="E147" s="86">
        <v>7</v>
      </c>
      <c r="F147" s="86">
        <v>6</v>
      </c>
      <c r="G147" s="86">
        <v>8</v>
      </c>
      <c r="H147" s="86">
        <f>E147</f>
        <v>7</v>
      </c>
      <c r="I147" s="87">
        <f t="shared" si="22"/>
        <v>87.5</v>
      </c>
      <c r="J147" s="48">
        <f t="shared" si="23"/>
        <v>116.66666666666667</v>
      </c>
      <c r="K147" s="111"/>
    </row>
    <row r="148" spans="1:11" s="88" customFormat="1" ht="22.5" hidden="1" customHeight="1" outlineLevel="1">
      <c r="A148" s="84"/>
      <c r="B148" s="85" t="s">
        <v>139</v>
      </c>
      <c r="C148" s="84" t="s">
        <v>62</v>
      </c>
      <c r="D148" s="86">
        <v>9</v>
      </c>
      <c r="E148" s="86">
        <v>9</v>
      </c>
      <c r="F148" s="86">
        <v>9</v>
      </c>
      <c r="G148" s="86">
        <v>10</v>
      </c>
      <c r="H148" s="86">
        <f>E148</f>
        <v>9</v>
      </c>
      <c r="I148" s="87">
        <f t="shared" si="22"/>
        <v>90</v>
      </c>
      <c r="J148" s="48">
        <f t="shared" si="23"/>
        <v>100</v>
      </c>
      <c r="K148" s="111"/>
    </row>
    <row r="149" spans="1:11" s="88" customFormat="1" ht="22.5" hidden="1" customHeight="1" outlineLevel="1">
      <c r="A149" s="84"/>
      <c r="B149" s="85" t="s">
        <v>140</v>
      </c>
      <c r="C149" s="84" t="s">
        <v>62</v>
      </c>
      <c r="D149" s="86">
        <v>4</v>
      </c>
      <c r="E149" s="86">
        <v>4</v>
      </c>
      <c r="F149" s="86">
        <v>4</v>
      </c>
      <c r="G149" s="86">
        <v>5</v>
      </c>
      <c r="H149" s="86">
        <f>E149</f>
        <v>4</v>
      </c>
      <c r="I149" s="87">
        <f t="shared" si="22"/>
        <v>80</v>
      </c>
      <c r="J149" s="48">
        <f t="shared" si="23"/>
        <v>100</v>
      </c>
      <c r="K149" s="111"/>
    </row>
    <row r="150" spans="1:11" s="88" customFormat="1" ht="22.5" hidden="1" customHeight="1" outlineLevel="1">
      <c r="A150" s="84"/>
      <c r="B150" s="85" t="s">
        <v>141</v>
      </c>
      <c r="C150" s="84" t="s">
        <v>62</v>
      </c>
      <c r="D150" s="86">
        <v>1</v>
      </c>
      <c r="E150" s="86">
        <v>1</v>
      </c>
      <c r="F150" s="86">
        <v>1</v>
      </c>
      <c r="G150" s="86">
        <v>1</v>
      </c>
      <c r="H150" s="86">
        <f>E150</f>
        <v>1</v>
      </c>
      <c r="I150" s="87">
        <f t="shared" si="22"/>
        <v>100</v>
      </c>
      <c r="J150" s="48">
        <f t="shared" si="23"/>
        <v>100</v>
      </c>
      <c r="K150" s="111"/>
    </row>
    <row r="151" spans="1:11" s="88" customFormat="1" ht="22.5" hidden="1" customHeight="1" outlineLevel="1">
      <c r="A151" s="84"/>
      <c r="B151" s="85" t="s">
        <v>142</v>
      </c>
      <c r="C151" s="84" t="s">
        <v>62</v>
      </c>
      <c r="D151" s="86">
        <v>1</v>
      </c>
      <c r="E151" s="86">
        <v>1</v>
      </c>
      <c r="F151" s="86">
        <v>1</v>
      </c>
      <c r="G151" s="86">
        <v>1</v>
      </c>
      <c r="H151" s="86">
        <f>E151</f>
        <v>1</v>
      </c>
      <c r="I151" s="87">
        <f t="shared" si="22"/>
        <v>100</v>
      </c>
      <c r="J151" s="48">
        <f t="shared" si="23"/>
        <v>100</v>
      </c>
      <c r="K151" s="111"/>
    </row>
    <row r="152" spans="1:11" ht="22.5" customHeight="1" collapsed="1">
      <c r="A152" s="1">
        <v>2</v>
      </c>
      <c r="B152" s="17" t="s">
        <v>63</v>
      </c>
      <c r="C152" s="1" t="s">
        <v>16</v>
      </c>
      <c r="D152" s="61">
        <f t="shared" ref="D152:H152" si="26">D145/D138%</f>
        <v>54.054054054054056</v>
      </c>
      <c r="E152" s="61">
        <f t="shared" si="26"/>
        <v>57.89473684210526</v>
      </c>
      <c r="F152" s="61">
        <f t="shared" ref="F152" si="27">F145/F138%</f>
        <v>56.756756756756758</v>
      </c>
      <c r="G152" s="61">
        <f t="shared" si="26"/>
        <v>65.78947368421052</v>
      </c>
      <c r="H152" s="61">
        <f t="shared" si="26"/>
        <v>57.89473684210526</v>
      </c>
      <c r="I152" s="48">
        <f t="shared" si="22"/>
        <v>88</v>
      </c>
      <c r="J152" s="48">
        <f t="shared" si="23"/>
        <v>102.00501253132832</v>
      </c>
      <c r="K152" s="3"/>
    </row>
    <row r="153" spans="1:11" ht="22.5" hidden="1" customHeight="1" outlineLevel="1">
      <c r="A153" s="1"/>
      <c r="B153" s="27" t="s">
        <v>136</v>
      </c>
      <c r="C153" s="1"/>
      <c r="D153" s="45"/>
      <c r="E153" s="45"/>
      <c r="F153" s="45"/>
      <c r="G153" s="45"/>
      <c r="H153" s="45"/>
      <c r="I153" s="53" t="str">
        <f t="shared" si="22"/>
        <v/>
      </c>
      <c r="J153" s="48" t="str">
        <f t="shared" si="23"/>
        <v/>
      </c>
      <c r="K153" s="3"/>
    </row>
    <row r="154" spans="1:11" ht="22.5" hidden="1" customHeight="1" outlineLevel="1">
      <c r="A154" s="1"/>
      <c r="B154" s="17" t="s">
        <v>138</v>
      </c>
      <c r="C154" s="1" t="s">
        <v>16</v>
      </c>
      <c r="D154" s="45">
        <f t="shared" ref="D154:H158" si="28">D147/D140%</f>
        <v>38.46153846153846</v>
      </c>
      <c r="E154" s="45">
        <f t="shared" si="28"/>
        <v>53.846153846153847</v>
      </c>
      <c r="F154" s="45">
        <f t="shared" ref="F154" si="29">F147/F140%</f>
        <v>46.153846153846153</v>
      </c>
      <c r="G154" s="45">
        <f t="shared" si="28"/>
        <v>61.538461538461533</v>
      </c>
      <c r="H154" s="45">
        <f t="shared" si="28"/>
        <v>53.846153846153847</v>
      </c>
      <c r="I154" s="53">
        <f t="shared" si="22"/>
        <v>87.500000000000014</v>
      </c>
      <c r="J154" s="48">
        <f t="shared" si="23"/>
        <v>116.66666666666667</v>
      </c>
      <c r="K154" s="3"/>
    </row>
    <row r="155" spans="1:11" ht="22.5" hidden="1" customHeight="1" outlineLevel="1">
      <c r="A155" s="1"/>
      <c r="B155" s="17" t="s">
        <v>139</v>
      </c>
      <c r="C155" s="1" t="s">
        <v>16</v>
      </c>
      <c r="D155" s="45">
        <f t="shared" si="28"/>
        <v>69.230769230769226</v>
      </c>
      <c r="E155" s="45">
        <f t="shared" si="28"/>
        <v>64.285714285714278</v>
      </c>
      <c r="F155" s="45">
        <f t="shared" ref="F155" si="30">F148/F141%</f>
        <v>69.230769230769226</v>
      </c>
      <c r="G155" s="45">
        <f t="shared" si="28"/>
        <v>71.428571428571416</v>
      </c>
      <c r="H155" s="45">
        <f t="shared" si="28"/>
        <v>64.285714285714278</v>
      </c>
      <c r="I155" s="53">
        <f t="shared" si="22"/>
        <v>90</v>
      </c>
      <c r="J155" s="48">
        <f t="shared" si="23"/>
        <v>92.857142857142847</v>
      </c>
      <c r="K155" s="3"/>
    </row>
    <row r="156" spans="1:11" ht="22.5" hidden="1" customHeight="1" outlineLevel="1">
      <c r="A156" s="1"/>
      <c r="B156" s="17" t="s">
        <v>140</v>
      </c>
      <c r="C156" s="1" t="s">
        <v>16</v>
      </c>
      <c r="D156" s="45">
        <f t="shared" si="28"/>
        <v>44.444444444444443</v>
      </c>
      <c r="E156" s="45">
        <f t="shared" si="28"/>
        <v>44.444444444444443</v>
      </c>
      <c r="F156" s="45">
        <f t="shared" ref="F156" si="31">F149/F142%</f>
        <v>44.444444444444443</v>
      </c>
      <c r="G156" s="45">
        <f t="shared" si="28"/>
        <v>55.555555555555557</v>
      </c>
      <c r="H156" s="45">
        <f t="shared" si="28"/>
        <v>44.444444444444443</v>
      </c>
      <c r="I156" s="53">
        <f t="shared" si="22"/>
        <v>80</v>
      </c>
      <c r="J156" s="48">
        <f t="shared" si="23"/>
        <v>100</v>
      </c>
      <c r="K156" s="3"/>
    </row>
    <row r="157" spans="1:11" ht="22.5" hidden="1" customHeight="1" outlineLevel="1">
      <c r="A157" s="1"/>
      <c r="B157" s="17" t="s">
        <v>141</v>
      </c>
      <c r="C157" s="1" t="s">
        <v>16</v>
      </c>
      <c r="D157" s="45">
        <f t="shared" si="28"/>
        <v>100</v>
      </c>
      <c r="E157" s="45">
        <f t="shared" si="28"/>
        <v>100</v>
      </c>
      <c r="F157" s="45">
        <f t="shared" ref="F157" si="32">F150/F143%</f>
        <v>100</v>
      </c>
      <c r="G157" s="45">
        <f t="shared" si="28"/>
        <v>100</v>
      </c>
      <c r="H157" s="45">
        <f t="shared" si="28"/>
        <v>100</v>
      </c>
      <c r="I157" s="53">
        <f t="shared" si="22"/>
        <v>100</v>
      </c>
      <c r="J157" s="48">
        <f t="shared" si="23"/>
        <v>100</v>
      </c>
      <c r="K157" s="3"/>
    </row>
    <row r="158" spans="1:11" ht="22.5" hidden="1" customHeight="1" outlineLevel="1">
      <c r="A158" s="1"/>
      <c r="B158" s="17" t="s">
        <v>142</v>
      </c>
      <c r="C158" s="1" t="s">
        <v>16</v>
      </c>
      <c r="D158" s="45">
        <f t="shared" si="28"/>
        <v>100</v>
      </c>
      <c r="E158" s="45">
        <f t="shared" si="28"/>
        <v>100</v>
      </c>
      <c r="F158" s="45">
        <f t="shared" ref="F158" si="33">F151/F144%</f>
        <v>100</v>
      </c>
      <c r="G158" s="45">
        <f t="shared" si="28"/>
        <v>100</v>
      </c>
      <c r="H158" s="45">
        <f t="shared" si="28"/>
        <v>100</v>
      </c>
      <c r="I158" s="53">
        <f t="shared" si="22"/>
        <v>100</v>
      </c>
      <c r="J158" s="48">
        <f t="shared" si="23"/>
        <v>100</v>
      </c>
      <c r="K158" s="3"/>
    </row>
    <row r="159" spans="1:11" ht="22.5" hidden="1" customHeight="1" outlineLevel="1">
      <c r="A159" s="1"/>
      <c r="B159" s="38"/>
      <c r="C159" s="1"/>
      <c r="D159" s="10"/>
      <c r="E159" s="10"/>
      <c r="F159" s="10"/>
      <c r="G159" s="10"/>
      <c r="H159" s="10"/>
      <c r="I159" s="53"/>
      <c r="J159" s="48" t="str">
        <f t="shared" si="23"/>
        <v/>
      </c>
      <c r="K159" s="3"/>
    </row>
    <row r="160" spans="1:11" ht="22.5" hidden="1" customHeight="1" outlineLevel="1">
      <c r="A160" s="60"/>
      <c r="B160" s="55"/>
      <c r="C160" s="1"/>
      <c r="D160" s="128"/>
      <c r="E160" s="128"/>
      <c r="F160" s="128"/>
      <c r="G160" s="128"/>
      <c r="H160" s="128"/>
      <c r="I160" s="53"/>
      <c r="J160" s="48" t="str">
        <f t="shared" si="23"/>
        <v/>
      </c>
      <c r="K160" s="3"/>
    </row>
    <row r="161" spans="1:11" ht="22.5" hidden="1" customHeight="1" outlineLevel="1">
      <c r="A161" s="60"/>
      <c r="B161" s="57"/>
      <c r="C161" s="1"/>
      <c r="D161" s="128"/>
      <c r="E161" s="128"/>
      <c r="F161" s="128"/>
      <c r="G161" s="128"/>
      <c r="H161" s="128"/>
      <c r="I161" s="53"/>
      <c r="J161" s="48" t="str">
        <f t="shared" si="23"/>
        <v/>
      </c>
      <c r="K161" s="3"/>
    </row>
    <row r="162" spans="1:11" ht="22.5" hidden="1" customHeight="1" outlineLevel="1">
      <c r="A162" s="60"/>
      <c r="B162" s="57"/>
      <c r="C162" s="1"/>
      <c r="D162" s="128"/>
      <c r="E162" s="128"/>
      <c r="F162" s="128"/>
      <c r="G162" s="128"/>
      <c r="H162" s="128"/>
      <c r="I162" s="53"/>
      <c r="J162" s="48" t="str">
        <f t="shared" si="23"/>
        <v/>
      </c>
      <c r="K162" s="3"/>
    </row>
    <row r="163" spans="1:11" ht="22.5" hidden="1" customHeight="1" outlineLevel="1">
      <c r="A163" s="60"/>
      <c r="B163" s="55"/>
      <c r="C163" s="1"/>
      <c r="D163" s="128"/>
      <c r="E163" s="128"/>
      <c r="F163" s="128"/>
      <c r="G163" s="128"/>
      <c r="H163" s="128"/>
      <c r="I163" s="53"/>
      <c r="J163" s="48" t="str">
        <f t="shared" si="23"/>
        <v/>
      </c>
      <c r="K163" s="3"/>
    </row>
    <row r="164" spans="1:11" ht="22.5" hidden="1" customHeight="1" outlineLevel="1">
      <c r="A164" s="60"/>
      <c r="B164" s="55"/>
      <c r="C164" s="1"/>
      <c r="D164" s="128"/>
      <c r="E164" s="128"/>
      <c r="F164" s="128"/>
      <c r="G164" s="128"/>
      <c r="H164" s="128"/>
      <c r="I164" s="53"/>
      <c r="J164" s="48" t="str">
        <f t="shared" si="23"/>
        <v/>
      </c>
      <c r="K164" s="3"/>
    </row>
    <row r="165" spans="1:11" ht="22.5" customHeight="1" collapsed="1">
      <c r="A165" s="8" t="s">
        <v>28</v>
      </c>
      <c r="B165" s="12" t="s">
        <v>145</v>
      </c>
      <c r="C165" s="1"/>
      <c r="D165" s="10"/>
      <c r="E165" s="10"/>
      <c r="F165" s="10"/>
      <c r="G165" s="10"/>
      <c r="H165" s="10"/>
      <c r="I165" s="53" t="str">
        <f t="shared" si="22"/>
        <v/>
      </c>
      <c r="J165" s="53" t="str">
        <f t="shared" si="23"/>
        <v/>
      </c>
      <c r="K165" s="3"/>
    </row>
    <row r="166" spans="1:11" ht="22.5" customHeight="1">
      <c r="A166" s="1">
        <v>1</v>
      </c>
      <c r="B166" s="17" t="s">
        <v>146</v>
      </c>
      <c r="C166" s="1" t="s">
        <v>64</v>
      </c>
      <c r="D166" s="10">
        <v>130</v>
      </c>
      <c r="E166" s="10">
        <v>130</v>
      </c>
      <c r="F166" s="10">
        <v>130</v>
      </c>
      <c r="G166" s="10">
        <v>135</v>
      </c>
      <c r="H166" s="10">
        <v>135</v>
      </c>
      <c r="I166" s="48">
        <f t="shared" si="22"/>
        <v>100</v>
      </c>
      <c r="J166" s="48">
        <f t="shared" si="23"/>
        <v>103.84615384615384</v>
      </c>
      <c r="K166" s="3"/>
    </row>
    <row r="167" spans="1:11" ht="24" customHeight="1">
      <c r="A167" s="1">
        <v>2</v>
      </c>
      <c r="B167" s="17" t="s">
        <v>202</v>
      </c>
      <c r="C167" s="1" t="s">
        <v>144</v>
      </c>
      <c r="D167" s="10">
        <v>2</v>
      </c>
      <c r="E167" s="10">
        <v>6</v>
      </c>
      <c r="F167" s="10">
        <v>2</v>
      </c>
      <c r="G167" s="10">
        <v>7</v>
      </c>
      <c r="H167" s="10">
        <v>4</v>
      </c>
      <c r="I167" s="48">
        <f t="shared" si="22"/>
        <v>57.142857142857139</v>
      </c>
      <c r="J167" s="48">
        <f t="shared" si="23"/>
        <v>200</v>
      </c>
      <c r="K167" s="3"/>
    </row>
    <row r="168" spans="1:11" ht="21" customHeight="1">
      <c r="A168" s="1"/>
      <c r="B168" s="37" t="s">
        <v>203</v>
      </c>
      <c r="C168" s="1" t="s">
        <v>16</v>
      </c>
      <c r="D168" s="45">
        <f t="shared" ref="D168:H168" si="34">D167/9%</f>
        <v>22.222222222222221</v>
      </c>
      <c r="E168" s="45">
        <f t="shared" si="34"/>
        <v>66.666666666666671</v>
      </c>
      <c r="F168" s="45">
        <f t="shared" ref="F168" si="35">F167/9%</f>
        <v>22.222222222222221</v>
      </c>
      <c r="G168" s="45">
        <f t="shared" si="34"/>
        <v>77.777777777777786</v>
      </c>
      <c r="H168" s="45">
        <f t="shared" si="34"/>
        <v>44.444444444444443</v>
      </c>
      <c r="I168" s="48">
        <f t="shared" si="22"/>
        <v>57.142857142857132</v>
      </c>
      <c r="J168" s="48">
        <f t="shared" si="23"/>
        <v>200</v>
      </c>
      <c r="K168" s="3"/>
    </row>
    <row r="169" spans="1:11" ht="21.75" customHeight="1">
      <c r="A169" s="1">
        <v>3</v>
      </c>
      <c r="B169" s="29" t="s">
        <v>82</v>
      </c>
      <c r="C169" s="1" t="s">
        <v>16</v>
      </c>
      <c r="D169" s="45">
        <v>83.5</v>
      </c>
      <c r="E169" s="45">
        <v>87</v>
      </c>
      <c r="F169" s="45"/>
      <c r="G169" s="45">
        <v>90</v>
      </c>
      <c r="H169" s="45"/>
      <c r="I169" s="53">
        <f t="shared" si="22"/>
        <v>0</v>
      </c>
      <c r="J169" s="48" t="str">
        <f t="shared" si="23"/>
        <v/>
      </c>
      <c r="K169" s="3"/>
    </row>
    <row r="170" spans="1:11" hidden="1" outlineLevel="1">
      <c r="A170" s="1"/>
      <c r="B170" s="29"/>
      <c r="C170" s="1"/>
      <c r="D170" s="61"/>
      <c r="E170" s="45"/>
      <c r="F170" s="45"/>
      <c r="G170" s="45"/>
      <c r="H170" s="45"/>
      <c r="I170" s="53"/>
      <c r="J170" s="48" t="str">
        <f t="shared" si="23"/>
        <v/>
      </c>
      <c r="K170" s="3"/>
    </row>
    <row r="171" spans="1:11" hidden="1" outlineLevel="1">
      <c r="A171" s="1"/>
      <c r="B171" s="29"/>
      <c r="C171" s="1"/>
      <c r="D171" s="61"/>
      <c r="E171" s="45"/>
      <c r="F171" s="45"/>
      <c r="G171" s="45"/>
      <c r="H171" s="45"/>
      <c r="I171" s="53"/>
      <c r="J171" s="48" t="str">
        <f t="shared" si="23"/>
        <v/>
      </c>
      <c r="K171" s="3"/>
    </row>
    <row r="172" spans="1:11" ht="31.2" collapsed="1">
      <c r="A172" s="8" t="s">
        <v>29</v>
      </c>
      <c r="B172" s="123" t="s">
        <v>86</v>
      </c>
      <c r="C172" s="9"/>
      <c r="D172" s="10"/>
      <c r="E172" s="10"/>
      <c r="F172" s="10"/>
      <c r="G172" s="10"/>
      <c r="H172" s="10"/>
      <c r="I172" s="53" t="str">
        <f t="shared" si="22"/>
        <v/>
      </c>
      <c r="J172" s="53" t="str">
        <f t="shared" si="23"/>
        <v/>
      </c>
      <c r="K172" s="3"/>
    </row>
    <row r="173" spans="1:11" ht="22.5" customHeight="1">
      <c r="A173" s="8">
        <v>1</v>
      </c>
      <c r="B173" s="44" t="s">
        <v>219</v>
      </c>
      <c r="C173" s="9"/>
      <c r="D173" s="10"/>
      <c r="E173" s="10"/>
      <c r="F173" s="10"/>
      <c r="G173" s="10"/>
      <c r="H173" s="10"/>
      <c r="I173" s="53" t="str">
        <f t="shared" si="22"/>
        <v/>
      </c>
      <c r="J173" s="48" t="str">
        <f t="shared" si="23"/>
        <v/>
      </c>
      <c r="K173" s="3"/>
    </row>
    <row r="174" spans="1:11" ht="22.5" customHeight="1">
      <c r="A174" s="16"/>
      <c r="B174" s="38" t="s">
        <v>88</v>
      </c>
      <c r="C174" s="18" t="s">
        <v>3</v>
      </c>
      <c r="D174" s="49">
        <v>1560</v>
      </c>
      <c r="E174" s="49">
        <v>1560</v>
      </c>
      <c r="F174" s="49">
        <v>408</v>
      </c>
      <c r="G174" s="49">
        <f>E174</f>
        <v>1560</v>
      </c>
      <c r="H174" s="49">
        <v>390</v>
      </c>
      <c r="I174" s="48">
        <f t="shared" si="22"/>
        <v>25</v>
      </c>
      <c r="J174" s="48">
        <f t="shared" si="23"/>
        <v>95.588235294117652</v>
      </c>
      <c r="K174" s="3"/>
    </row>
    <row r="175" spans="1:11" ht="22.5" customHeight="1">
      <c r="A175" s="16"/>
      <c r="B175" s="38" t="s">
        <v>89</v>
      </c>
      <c r="C175" s="18" t="s">
        <v>3</v>
      </c>
      <c r="D175" s="49">
        <v>21800</v>
      </c>
      <c r="E175" s="49">
        <v>21800</v>
      </c>
      <c r="F175" s="49">
        <v>5022</v>
      </c>
      <c r="G175" s="49">
        <f>E175</f>
        <v>21800</v>
      </c>
      <c r="H175" s="49">
        <v>5400</v>
      </c>
      <c r="I175" s="48">
        <f t="shared" si="22"/>
        <v>24.770642201834864</v>
      </c>
      <c r="J175" s="48">
        <f t="shared" si="23"/>
        <v>107.52688172043011</v>
      </c>
      <c r="K175" s="3"/>
    </row>
    <row r="176" spans="1:11" ht="22.5" hidden="1" customHeight="1" outlineLevel="1">
      <c r="A176" s="8"/>
      <c r="B176" s="44"/>
      <c r="C176" s="18"/>
      <c r="D176" s="49"/>
      <c r="E176" s="49"/>
      <c r="F176" s="49"/>
      <c r="G176" s="49"/>
      <c r="H176" s="49"/>
      <c r="I176" s="53"/>
      <c r="J176" s="53"/>
      <c r="K176" s="3"/>
    </row>
    <row r="177" spans="1:11" ht="22.5" hidden="1" customHeight="1" outlineLevel="1">
      <c r="A177" s="1"/>
      <c r="B177" s="38"/>
      <c r="C177" s="18"/>
      <c r="D177" s="49"/>
      <c r="E177" s="49"/>
      <c r="F177" s="49"/>
      <c r="G177" s="49"/>
      <c r="H177" s="49"/>
      <c r="I177" s="53"/>
      <c r="J177" s="53"/>
      <c r="K177" s="3"/>
    </row>
    <row r="178" spans="1:11" ht="22.5" hidden="1" customHeight="1" outlineLevel="1">
      <c r="A178" s="1"/>
      <c r="B178" s="38"/>
      <c r="C178" s="33"/>
      <c r="D178" s="49"/>
      <c r="E178" s="49"/>
      <c r="F178" s="49"/>
      <c r="G178" s="49"/>
      <c r="H178" s="49"/>
      <c r="I178" s="53"/>
      <c r="J178" s="53"/>
      <c r="K178" s="3"/>
    </row>
    <row r="179" spans="1:11" ht="22.5" hidden="1" customHeight="1" outlineLevel="1">
      <c r="A179" s="1"/>
      <c r="B179" s="38"/>
      <c r="C179" s="18"/>
      <c r="D179" s="129"/>
      <c r="E179" s="129"/>
      <c r="F179" s="129"/>
      <c r="G179" s="129"/>
      <c r="H179" s="129"/>
      <c r="I179" s="53"/>
      <c r="J179" s="53"/>
      <c r="K179" s="3"/>
    </row>
    <row r="180" spans="1:11" ht="22.5" hidden="1" customHeight="1" outlineLevel="1">
      <c r="A180" s="1"/>
      <c r="B180" s="38"/>
      <c r="C180" s="33"/>
      <c r="D180" s="49"/>
      <c r="E180" s="49"/>
      <c r="F180" s="49"/>
      <c r="G180" s="49"/>
      <c r="H180" s="49"/>
      <c r="I180" s="53"/>
      <c r="J180" s="53"/>
      <c r="K180" s="3"/>
    </row>
    <row r="181" spans="1:11" ht="22.5" hidden="1" customHeight="1" outlineLevel="1">
      <c r="A181" s="1"/>
      <c r="B181" s="38"/>
      <c r="C181" s="18"/>
      <c r="D181" s="49"/>
      <c r="E181" s="49"/>
      <c r="F181" s="49"/>
      <c r="G181" s="49"/>
      <c r="H181" s="49"/>
      <c r="I181" s="53"/>
      <c r="J181" s="53"/>
      <c r="K181" s="3"/>
    </row>
    <row r="182" spans="1:11" ht="22.5" hidden="1" customHeight="1" outlineLevel="1">
      <c r="A182" s="1"/>
      <c r="B182" s="17"/>
      <c r="C182" s="1"/>
      <c r="D182" s="49"/>
      <c r="E182" s="49"/>
      <c r="F182" s="49"/>
      <c r="G182" s="49"/>
      <c r="H182" s="49"/>
      <c r="I182" s="53"/>
      <c r="J182" s="53"/>
      <c r="K182" s="3"/>
    </row>
    <row r="183" spans="1:11" ht="5.25" customHeight="1" collapsed="1">
      <c r="A183" s="4"/>
      <c r="B183" s="52"/>
      <c r="C183" s="4"/>
      <c r="D183" s="52"/>
      <c r="E183" s="52"/>
      <c r="F183" s="52"/>
      <c r="G183" s="52"/>
      <c r="H183" s="52"/>
      <c r="I183" s="52"/>
      <c r="J183" s="52"/>
      <c r="K183" s="52"/>
    </row>
  </sheetData>
  <mergeCells count="13">
    <mergeCell ref="D5:D6"/>
    <mergeCell ref="E5:E6"/>
    <mergeCell ref="K5:K6"/>
    <mergeCell ref="A1:K1"/>
    <mergeCell ref="A2:K2"/>
    <mergeCell ref="A3:K3"/>
    <mergeCell ref="A5:A6"/>
    <mergeCell ref="B5:B6"/>
    <mergeCell ref="C5:C6"/>
    <mergeCell ref="F5:F6"/>
    <mergeCell ref="G5:G6"/>
    <mergeCell ref="H5:H6"/>
    <mergeCell ref="I5:J5"/>
  </mergeCells>
  <pageMargins left="0.47244094488188981" right="0.39370078740157483" top="0.59055118110236227" bottom="0.47244094488188981" header="0.31496062992125984" footer="0.31496062992125984"/>
  <pageSetup paperSize="9" scale="69" fitToHeight="0" orientation="portrait" r:id="rId1"/>
  <headerFooter>
    <oddFooter>&amp;R&amp;"Times New Roman,Regular"&amp;P/&amp;N</oddFooter>
  </headerFooter>
  <ignoredErrors>
    <ignoredError sqref="F88:H8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F0"/>
    <pageSetUpPr fitToPage="1"/>
  </sheetPr>
  <dimension ref="A1:K183"/>
  <sheetViews>
    <sheetView zoomScale="85" zoomScaleNormal="85" zoomScaleSheetLayoutView="85" workbookViewId="0">
      <pane xSplit="2" ySplit="7" topLeftCell="C26" activePane="bottomRight" state="frozen"/>
      <selection activeCell="G25" sqref="G25"/>
      <selection pane="topRight" activeCell="G25" sqref="G25"/>
      <selection pane="bottomLeft" activeCell="G25" sqref="G25"/>
      <selection pane="bottomRight" activeCell="G25" sqref="G25"/>
    </sheetView>
  </sheetViews>
  <sheetFormatPr defaultColWidth="9.109375" defaultRowHeight="15.6" outlineLevelRow="2" outlineLevelCol="1"/>
  <cols>
    <col min="1" max="1" width="5.5546875" style="6" customWidth="1"/>
    <col min="2" max="2" width="39.88671875" style="2" customWidth="1"/>
    <col min="3" max="3" width="12.5546875" style="6" customWidth="1"/>
    <col min="4" max="5" width="12.109375" style="2" hidden="1" customWidth="1" outlineLevel="1"/>
    <col min="6" max="6" width="12.44140625" style="2" customWidth="1" collapsed="1"/>
    <col min="7" max="8" width="12.44140625" style="2" customWidth="1"/>
    <col min="9" max="9" width="13.33203125" style="2" customWidth="1"/>
    <col min="10" max="10" width="10" style="2" bestFit="1" customWidth="1"/>
    <col min="11" max="16384" width="9.109375" style="2"/>
  </cols>
  <sheetData>
    <row r="1" spans="1:11" ht="17.399999999999999" hidden="1" outlineLevel="1">
      <c r="A1" s="676" t="s">
        <v>67</v>
      </c>
      <c r="B1" s="676"/>
      <c r="C1" s="676"/>
      <c r="D1" s="676"/>
      <c r="E1" s="676"/>
      <c r="F1" s="676"/>
      <c r="G1" s="676"/>
      <c r="H1" s="676"/>
      <c r="I1" s="676"/>
    </row>
    <row r="2" spans="1:11" ht="17.399999999999999" hidden="1" outlineLevel="1">
      <c r="A2" s="676" t="s">
        <v>260</v>
      </c>
      <c r="B2" s="676"/>
      <c r="C2" s="676"/>
      <c r="D2" s="676"/>
      <c r="E2" s="676"/>
      <c r="F2" s="676"/>
      <c r="G2" s="676"/>
      <c r="H2" s="676"/>
      <c r="I2" s="676"/>
    </row>
    <row r="3" spans="1:11" ht="18" hidden="1" outlineLevel="1">
      <c r="A3" s="677" t="s">
        <v>168</v>
      </c>
      <c r="B3" s="677"/>
      <c r="C3" s="677"/>
      <c r="D3" s="677"/>
      <c r="E3" s="677"/>
      <c r="F3" s="677"/>
      <c r="G3" s="677"/>
      <c r="H3" s="677"/>
      <c r="I3" s="677"/>
    </row>
    <row r="4" spans="1:11" ht="9" hidden="1" customHeight="1" outlineLevel="1"/>
    <row r="5" spans="1:11" ht="16.5" customHeight="1" collapsed="1">
      <c r="A5" s="650" t="s">
        <v>32</v>
      </c>
      <c r="B5" s="650" t="s">
        <v>42</v>
      </c>
      <c r="C5" s="650" t="s">
        <v>4</v>
      </c>
      <c r="D5" s="650" t="s">
        <v>154</v>
      </c>
      <c r="E5" s="650" t="s">
        <v>182</v>
      </c>
      <c r="F5" s="650" t="s">
        <v>155</v>
      </c>
      <c r="G5" s="650" t="s">
        <v>256</v>
      </c>
      <c r="H5" s="651" t="s">
        <v>189</v>
      </c>
      <c r="I5" s="651" t="s">
        <v>46</v>
      </c>
    </row>
    <row r="6" spans="1:11">
      <c r="A6" s="650"/>
      <c r="B6" s="650"/>
      <c r="C6" s="650"/>
      <c r="D6" s="650"/>
      <c r="E6" s="650"/>
      <c r="F6" s="650"/>
      <c r="G6" s="650"/>
      <c r="H6" s="653"/>
      <c r="I6" s="653"/>
    </row>
    <row r="7" spans="1:11">
      <c r="A7" s="7">
        <v>1</v>
      </c>
      <c r="B7" s="7">
        <v>2</v>
      </c>
      <c r="C7" s="7">
        <v>3</v>
      </c>
      <c r="D7" s="7"/>
      <c r="E7" s="7"/>
      <c r="F7" s="7">
        <v>4</v>
      </c>
      <c r="G7" s="7">
        <v>5</v>
      </c>
      <c r="H7" s="7" t="s">
        <v>216</v>
      </c>
      <c r="I7" s="7">
        <v>7</v>
      </c>
    </row>
    <row r="8" spans="1:11" ht="15" customHeight="1">
      <c r="A8" s="102"/>
      <c r="B8" s="103" t="s">
        <v>68</v>
      </c>
      <c r="C8" s="102"/>
      <c r="D8" s="102"/>
      <c r="E8" s="102"/>
      <c r="F8" s="102"/>
      <c r="G8" s="102"/>
      <c r="H8" s="104"/>
      <c r="I8" s="110"/>
    </row>
    <row r="9" spans="1:11" ht="16.5" customHeight="1" collapsed="1">
      <c r="A9" s="90" t="s">
        <v>23</v>
      </c>
      <c r="B9" s="91" t="s">
        <v>127</v>
      </c>
      <c r="C9" s="92"/>
      <c r="D9" s="93"/>
      <c r="E9" s="93"/>
      <c r="F9" s="93"/>
      <c r="G9" s="93"/>
      <c r="H9" s="94"/>
      <c r="I9" s="94"/>
      <c r="J9" s="11"/>
    </row>
    <row r="10" spans="1:11" s="15" customFormat="1" ht="17.25" customHeight="1">
      <c r="A10" s="8" t="s">
        <v>21</v>
      </c>
      <c r="B10" s="12" t="s">
        <v>72</v>
      </c>
      <c r="C10" s="9" t="s">
        <v>57</v>
      </c>
      <c r="D10" s="13">
        <v>347871</v>
      </c>
      <c r="E10" s="13">
        <v>313038</v>
      </c>
      <c r="F10" s="13">
        <v>277205</v>
      </c>
      <c r="G10" s="13">
        <v>113499</v>
      </c>
      <c r="H10" s="53">
        <f>IFERROR(G10/F10%,"")</f>
        <v>40.944066665464184</v>
      </c>
      <c r="I10" s="69"/>
      <c r="J10" s="14"/>
    </row>
    <row r="11" spans="1:11" ht="15.75" customHeight="1">
      <c r="A11" s="16" t="s">
        <v>65</v>
      </c>
      <c r="B11" s="17" t="s">
        <v>73</v>
      </c>
      <c r="C11" s="18" t="s">
        <v>57</v>
      </c>
      <c r="D11" s="19">
        <v>90496</v>
      </c>
      <c r="E11" s="19">
        <v>104622</v>
      </c>
      <c r="F11" s="19">
        <v>82860</v>
      </c>
      <c r="G11" s="19">
        <v>41395</v>
      </c>
      <c r="H11" s="48">
        <f t="shared" ref="H11:H74" si="0">IFERROR(G11/F11%,"")</f>
        <v>49.957760077238717</v>
      </c>
      <c r="I11" s="3"/>
      <c r="J11" s="11"/>
    </row>
    <row r="12" spans="1:11" s="34" customFormat="1" ht="17.25" customHeight="1">
      <c r="A12" s="58"/>
      <c r="B12" s="27" t="s">
        <v>206</v>
      </c>
      <c r="C12" s="33" t="s">
        <v>57</v>
      </c>
      <c r="D12" s="59">
        <v>84999</v>
      </c>
      <c r="E12" s="59">
        <v>71796</v>
      </c>
      <c r="F12" s="59">
        <v>70788</v>
      </c>
      <c r="G12" s="59">
        <v>33040</v>
      </c>
      <c r="H12" s="71">
        <f t="shared" si="0"/>
        <v>46.674577612024635</v>
      </c>
      <c r="I12" s="70"/>
      <c r="J12" s="11"/>
      <c r="K12" s="120"/>
    </row>
    <row r="13" spans="1:11" s="15" customFormat="1">
      <c r="A13" s="8" t="s">
        <v>22</v>
      </c>
      <c r="B13" s="12" t="s">
        <v>74</v>
      </c>
      <c r="C13" s="9" t="s">
        <v>57</v>
      </c>
      <c r="D13" s="13">
        <v>308217</v>
      </c>
      <c r="E13" s="13">
        <v>300633</v>
      </c>
      <c r="F13" s="13">
        <v>265133</v>
      </c>
      <c r="G13" s="13">
        <v>78741</v>
      </c>
      <c r="H13" s="53">
        <f t="shared" si="0"/>
        <v>29.698679530650654</v>
      </c>
      <c r="I13" s="69"/>
      <c r="J13" s="14"/>
    </row>
    <row r="14" spans="1:11">
      <c r="A14" s="16" t="s">
        <v>65</v>
      </c>
      <c r="B14" s="17" t="s">
        <v>75</v>
      </c>
      <c r="C14" s="18" t="s">
        <v>57</v>
      </c>
      <c r="D14" s="19">
        <v>239615</v>
      </c>
      <c r="E14" s="19">
        <v>264543</v>
      </c>
      <c r="F14" s="19">
        <v>232779</v>
      </c>
      <c r="G14" s="19">
        <v>65827</v>
      </c>
      <c r="H14" s="48">
        <f t="shared" si="0"/>
        <v>28.278753667641841</v>
      </c>
      <c r="I14" s="3"/>
      <c r="J14" s="11"/>
    </row>
    <row r="15" spans="1:11" ht="20.25" customHeight="1">
      <c r="A15" s="90" t="s">
        <v>24</v>
      </c>
      <c r="B15" s="95" t="s">
        <v>77</v>
      </c>
      <c r="C15" s="96"/>
      <c r="D15" s="97"/>
      <c r="E15" s="97"/>
      <c r="F15" s="97"/>
      <c r="G15" s="97"/>
      <c r="H15" s="94" t="str">
        <f t="shared" si="0"/>
        <v/>
      </c>
      <c r="I15" s="94"/>
    </row>
    <row r="16" spans="1:11" ht="20.25" customHeight="1">
      <c r="A16" s="1" t="s">
        <v>33</v>
      </c>
      <c r="B16" s="17" t="s">
        <v>169</v>
      </c>
      <c r="C16" s="1" t="s">
        <v>20</v>
      </c>
      <c r="D16" s="26">
        <f>D17+D67</f>
        <v>16753.03</v>
      </c>
      <c r="E16" s="26">
        <f>E17+E67</f>
        <v>16580</v>
      </c>
      <c r="F16" s="26">
        <f>F17+F67</f>
        <v>10519.1</v>
      </c>
      <c r="G16" s="26">
        <f>G17+G67</f>
        <v>10428.300000000001</v>
      </c>
      <c r="H16" s="48">
        <f t="shared" si="0"/>
        <v>99.136808282077368</v>
      </c>
      <c r="I16" s="3"/>
    </row>
    <row r="17" spans="1:9">
      <c r="A17" s="8" t="s">
        <v>21</v>
      </c>
      <c r="B17" s="12" t="s">
        <v>258</v>
      </c>
      <c r="C17" s="8" t="s">
        <v>20</v>
      </c>
      <c r="D17" s="24">
        <f>D18+D47+D54+D50+D63</f>
        <v>6939.03</v>
      </c>
      <c r="E17" s="24">
        <f>E18+E47+E54+E50+E63</f>
        <v>6508.4</v>
      </c>
      <c r="F17" s="24">
        <f>F18+F54+F50+F63</f>
        <v>747</v>
      </c>
      <c r="G17" s="24">
        <f>G18+G54+G50+G63</f>
        <v>751.1</v>
      </c>
      <c r="H17" s="53">
        <f t="shared" si="0"/>
        <v>100.54886211512718</v>
      </c>
      <c r="I17" s="3"/>
    </row>
    <row r="18" spans="1:9" s="15" customFormat="1" ht="17.25" customHeight="1">
      <c r="A18" s="8">
        <v>1</v>
      </c>
      <c r="B18" s="12" t="s">
        <v>7</v>
      </c>
      <c r="C18" s="8" t="s">
        <v>20</v>
      </c>
      <c r="D18" s="24">
        <f>D23+D38</f>
        <v>625.53</v>
      </c>
      <c r="E18" s="24">
        <f>E23+E38</f>
        <v>609.20000000000005</v>
      </c>
      <c r="F18" s="24">
        <f>F23+F38</f>
        <v>594</v>
      </c>
      <c r="G18" s="24">
        <f>G23+G38</f>
        <v>599.1</v>
      </c>
      <c r="H18" s="53">
        <f t="shared" si="0"/>
        <v>100.85858585858585</v>
      </c>
      <c r="I18" s="69"/>
    </row>
    <row r="19" spans="1:9" ht="17.25" hidden="1" customHeight="1" outlineLevel="1">
      <c r="A19" s="1" t="s">
        <v>33</v>
      </c>
      <c r="B19" s="17" t="s">
        <v>8</v>
      </c>
      <c r="C19" s="1" t="s">
        <v>5</v>
      </c>
      <c r="D19" s="26">
        <f t="shared" ref="D19:G19" si="1">SUM(D20:D21)</f>
        <v>2507.6190899999997</v>
      </c>
      <c r="E19" s="26">
        <f t="shared" si="1"/>
        <v>2875.8110000000001</v>
      </c>
      <c r="F19" s="26">
        <f t="shared" si="1"/>
        <v>2829.0430000000001</v>
      </c>
      <c r="G19" s="26">
        <f t="shared" si="1"/>
        <v>2809.47</v>
      </c>
      <c r="H19" s="48">
        <f t="shared" si="0"/>
        <v>99.30814059736808</v>
      </c>
      <c r="I19" s="3"/>
    </row>
    <row r="20" spans="1:9" ht="17.25" hidden="1" customHeight="1" outlineLevel="1">
      <c r="A20" s="1"/>
      <c r="B20" s="27" t="s">
        <v>9</v>
      </c>
      <c r="C20" s="1" t="s">
        <v>47</v>
      </c>
      <c r="D20" s="26">
        <f t="shared" ref="D20:G20" si="2">D25</f>
        <v>2349.2202299999999</v>
      </c>
      <c r="E20" s="26">
        <f t="shared" si="2"/>
        <v>2692.76</v>
      </c>
      <c r="F20" s="26">
        <f t="shared" si="2"/>
        <v>2702.5430000000001</v>
      </c>
      <c r="G20" s="26">
        <f t="shared" si="2"/>
        <v>2697.33</v>
      </c>
      <c r="H20" s="48">
        <f t="shared" si="0"/>
        <v>99.807107601988193</v>
      </c>
      <c r="I20" s="3"/>
    </row>
    <row r="21" spans="1:9" ht="17.25" hidden="1" customHeight="1" outlineLevel="1">
      <c r="A21" s="1"/>
      <c r="B21" s="17" t="s">
        <v>61</v>
      </c>
      <c r="C21" s="1" t="s">
        <v>47</v>
      </c>
      <c r="D21" s="26">
        <f t="shared" ref="D21:G21" si="3">D40</f>
        <v>158.39885999999998</v>
      </c>
      <c r="E21" s="26">
        <f t="shared" si="3"/>
        <v>183.05099999999999</v>
      </c>
      <c r="F21" s="26">
        <f t="shared" si="3"/>
        <v>126.5</v>
      </c>
      <c r="G21" s="26">
        <f t="shared" si="3"/>
        <v>112.13999999999999</v>
      </c>
      <c r="H21" s="48">
        <f t="shared" si="0"/>
        <v>88.648221343873516</v>
      </c>
      <c r="I21" s="3"/>
    </row>
    <row r="22" spans="1:9" ht="17.25" hidden="1" customHeight="1" outlineLevel="1">
      <c r="A22" s="1" t="s">
        <v>33</v>
      </c>
      <c r="B22" s="17" t="s">
        <v>10</v>
      </c>
      <c r="C22" s="1" t="s">
        <v>34</v>
      </c>
      <c r="D22" s="26">
        <f>D19/D119*1000</f>
        <v>56.164197500447941</v>
      </c>
      <c r="E22" s="26">
        <f>E19/E119*1000</f>
        <v>62.726263441446548</v>
      </c>
      <c r="F22" s="26">
        <f>F19/F119*1000</f>
        <v>60.253940194240926</v>
      </c>
      <c r="G22" s="26"/>
      <c r="H22" s="48">
        <f t="shared" si="0"/>
        <v>0</v>
      </c>
      <c r="I22" s="3"/>
    </row>
    <row r="23" spans="1:9" s="15" customFormat="1" ht="17.25" hidden="1" customHeight="1" outlineLevel="1" collapsed="1">
      <c r="A23" s="8" t="s">
        <v>17</v>
      </c>
      <c r="B23" s="36" t="s">
        <v>191</v>
      </c>
      <c r="C23" s="8" t="s">
        <v>20</v>
      </c>
      <c r="D23" s="13">
        <f>D26+D29</f>
        <v>597.30999999999995</v>
      </c>
      <c r="E23" s="13">
        <f>E26+E29</f>
        <v>570.5</v>
      </c>
      <c r="F23" s="13">
        <f>F26+F29</f>
        <v>571</v>
      </c>
      <c r="G23" s="13">
        <f>G26+G29</f>
        <v>573.9</v>
      </c>
      <c r="H23" s="53">
        <f t="shared" si="0"/>
        <v>100.50788091068301</v>
      </c>
      <c r="I23" s="69"/>
    </row>
    <row r="24" spans="1:9" ht="17.25" hidden="1" customHeight="1" outlineLevel="1">
      <c r="A24" s="1"/>
      <c r="B24" s="29" t="s">
        <v>11</v>
      </c>
      <c r="C24" s="1" t="s">
        <v>6</v>
      </c>
      <c r="D24" s="30">
        <f t="shared" ref="D24:G24" si="4">D25/D23*10</f>
        <v>39.330000000000005</v>
      </c>
      <c r="E24" s="30">
        <f t="shared" si="4"/>
        <v>47.2</v>
      </c>
      <c r="F24" s="30">
        <f t="shared" si="4"/>
        <v>47.330000000000005</v>
      </c>
      <c r="G24" s="30">
        <f t="shared" si="4"/>
        <v>47</v>
      </c>
      <c r="H24" s="48">
        <f t="shared" si="0"/>
        <v>99.302767800549319</v>
      </c>
      <c r="I24" s="3"/>
    </row>
    <row r="25" spans="1:9" ht="17.25" hidden="1" customHeight="1" outlineLevel="1">
      <c r="A25" s="1"/>
      <c r="B25" s="29" t="s">
        <v>12</v>
      </c>
      <c r="C25" s="1" t="s">
        <v>47</v>
      </c>
      <c r="D25" s="19">
        <f>D28+D31</f>
        <v>2349.2202299999999</v>
      </c>
      <c r="E25" s="19">
        <f>E28+E31</f>
        <v>2692.76</v>
      </c>
      <c r="F25" s="19">
        <f>F28+F31</f>
        <v>2702.5430000000001</v>
      </c>
      <c r="G25" s="19">
        <f>G28+G31</f>
        <v>2697.33</v>
      </c>
      <c r="H25" s="48">
        <f t="shared" si="0"/>
        <v>99.807107601988193</v>
      </c>
      <c r="I25" s="3"/>
    </row>
    <row r="26" spans="1:9" ht="17.25" customHeight="1" collapsed="1">
      <c r="A26" s="1" t="s">
        <v>183</v>
      </c>
      <c r="B26" s="100" t="s">
        <v>192</v>
      </c>
      <c r="C26" s="1" t="s">
        <v>20</v>
      </c>
      <c r="D26" s="19">
        <v>597.30999999999995</v>
      </c>
      <c r="E26" s="119">
        <v>570.5</v>
      </c>
      <c r="F26" s="49">
        <v>571</v>
      </c>
      <c r="G26" s="49">
        <v>573.9</v>
      </c>
      <c r="H26" s="48">
        <f t="shared" si="0"/>
        <v>100.50788091068301</v>
      </c>
      <c r="I26" s="3"/>
    </row>
    <row r="27" spans="1:9" ht="17.25" customHeight="1">
      <c r="A27" s="1"/>
      <c r="B27" s="100" t="s">
        <v>11</v>
      </c>
      <c r="C27" s="1" t="s">
        <v>6</v>
      </c>
      <c r="D27" s="22">
        <v>39.33</v>
      </c>
      <c r="E27" s="30">
        <v>47.2</v>
      </c>
      <c r="F27" s="48">
        <v>47.33</v>
      </c>
      <c r="G27" s="48">
        <v>47</v>
      </c>
      <c r="H27" s="48">
        <f t="shared" si="0"/>
        <v>99.302767800549333</v>
      </c>
      <c r="I27" s="3"/>
    </row>
    <row r="28" spans="1:9" ht="17.25" customHeight="1">
      <c r="A28" s="1"/>
      <c r="B28" s="101" t="s">
        <v>12</v>
      </c>
      <c r="C28" s="1" t="s">
        <v>47</v>
      </c>
      <c r="D28" s="19">
        <f t="shared" ref="D28:G28" si="5">D26*D27/10</f>
        <v>2349.2202299999999</v>
      </c>
      <c r="E28" s="19">
        <f t="shared" si="5"/>
        <v>2692.76</v>
      </c>
      <c r="F28" s="19">
        <f t="shared" si="5"/>
        <v>2702.5430000000001</v>
      </c>
      <c r="G28" s="19">
        <f t="shared" si="5"/>
        <v>2697.33</v>
      </c>
      <c r="H28" s="48">
        <f t="shared" si="0"/>
        <v>99.807107601988193</v>
      </c>
      <c r="I28" s="3"/>
    </row>
    <row r="29" spans="1:9" ht="17.25" hidden="1" customHeight="1" outlineLevel="1">
      <c r="A29" s="1"/>
      <c r="B29" s="100"/>
      <c r="C29" s="1"/>
      <c r="D29" s="19"/>
      <c r="E29" s="26"/>
      <c r="F29" s="26"/>
      <c r="G29" s="26"/>
      <c r="H29" s="48"/>
      <c r="I29" s="3"/>
    </row>
    <row r="30" spans="1:9" ht="17.25" hidden="1" customHeight="1" outlineLevel="1">
      <c r="A30" s="1"/>
      <c r="B30" s="101"/>
      <c r="C30" s="1"/>
      <c r="D30" s="30"/>
      <c r="E30" s="25"/>
      <c r="F30" s="25"/>
      <c r="G30" s="25"/>
      <c r="H30" s="48"/>
      <c r="I30" s="3"/>
    </row>
    <row r="31" spans="1:9" ht="17.25" hidden="1" customHeight="1" outlineLevel="1">
      <c r="A31" s="1"/>
      <c r="B31" s="101"/>
      <c r="C31" s="1"/>
      <c r="D31" s="19"/>
      <c r="E31" s="26"/>
      <c r="F31" s="26"/>
      <c r="G31" s="26"/>
      <c r="H31" s="48"/>
      <c r="I31" s="3"/>
    </row>
    <row r="32" spans="1:9" ht="17.25" hidden="1" customHeight="1" outlineLevel="1">
      <c r="A32" s="1"/>
      <c r="B32" s="98"/>
      <c r="C32" s="1"/>
      <c r="D32" s="19"/>
      <c r="E32" s="30"/>
      <c r="F32" s="19"/>
      <c r="G32" s="19"/>
      <c r="H32" s="48"/>
      <c r="I32" s="3"/>
    </row>
    <row r="33" spans="1:9" ht="17.25" hidden="1" customHeight="1" outlineLevel="1">
      <c r="A33" s="1"/>
      <c r="B33" s="99"/>
      <c r="C33" s="1"/>
      <c r="D33" s="22"/>
      <c r="E33" s="30"/>
      <c r="F33" s="30"/>
      <c r="G33" s="30"/>
      <c r="H33" s="48"/>
      <c r="I33" s="3"/>
    </row>
    <row r="34" spans="1:9" ht="17.25" hidden="1" customHeight="1" outlineLevel="1">
      <c r="A34" s="1"/>
      <c r="B34" s="99"/>
      <c r="C34" s="1"/>
      <c r="D34" s="19"/>
      <c r="E34" s="19"/>
      <c r="F34" s="19"/>
      <c r="G34" s="19"/>
      <c r="H34" s="48"/>
      <c r="I34" s="3"/>
    </row>
    <row r="35" spans="1:9" ht="17.25" hidden="1" customHeight="1" outlineLevel="1">
      <c r="A35" s="1"/>
      <c r="B35" s="98"/>
      <c r="C35" s="1"/>
      <c r="D35" s="19"/>
      <c r="E35" s="19"/>
      <c r="F35" s="19"/>
      <c r="G35" s="19"/>
      <c r="H35" s="48"/>
      <c r="I35" s="3"/>
    </row>
    <row r="36" spans="1:9" ht="17.25" hidden="1" customHeight="1" outlineLevel="1">
      <c r="A36" s="1"/>
      <c r="B36" s="99"/>
      <c r="C36" s="1"/>
      <c r="D36" s="30"/>
      <c r="E36" s="30"/>
      <c r="F36" s="30"/>
      <c r="G36" s="30"/>
      <c r="H36" s="48"/>
      <c r="I36" s="3"/>
    </row>
    <row r="37" spans="1:9" ht="17.25" hidden="1" customHeight="1" outlineLevel="1">
      <c r="A37" s="1"/>
      <c r="B37" s="99"/>
      <c r="C37" s="1"/>
      <c r="D37" s="19"/>
      <c r="E37" s="19"/>
      <c r="F37" s="19"/>
      <c r="G37" s="19"/>
      <c r="H37" s="48"/>
      <c r="I37" s="3"/>
    </row>
    <row r="38" spans="1:9" s="15" customFormat="1" ht="17.25" hidden="1" customHeight="1" outlineLevel="1" collapsed="1">
      <c r="A38" s="8" t="s">
        <v>18</v>
      </c>
      <c r="B38" s="36" t="s">
        <v>195</v>
      </c>
      <c r="C38" s="8" t="s">
        <v>20</v>
      </c>
      <c r="D38" s="13">
        <f>D41+D44</f>
        <v>28.22</v>
      </c>
      <c r="E38" s="13">
        <f>E41+E44</f>
        <v>38.700000000000003</v>
      </c>
      <c r="F38" s="13">
        <f>F41+F44</f>
        <v>23</v>
      </c>
      <c r="G38" s="13">
        <f>G41+G44</f>
        <v>25.2</v>
      </c>
      <c r="H38" s="53">
        <f t="shared" si="0"/>
        <v>109.56521739130434</v>
      </c>
      <c r="I38" s="69"/>
    </row>
    <row r="39" spans="1:9" ht="17.25" hidden="1" customHeight="1" outlineLevel="1">
      <c r="A39" s="1"/>
      <c r="B39" s="29" t="s">
        <v>11</v>
      </c>
      <c r="C39" s="1" t="s">
        <v>6</v>
      </c>
      <c r="D39" s="30">
        <f t="shared" ref="D39:G39" si="6">D40/D38*10</f>
        <v>56.129999999999995</v>
      </c>
      <c r="E39" s="30">
        <f t="shared" si="6"/>
        <v>47.3</v>
      </c>
      <c r="F39" s="30">
        <f t="shared" si="6"/>
        <v>55</v>
      </c>
      <c r="G39" s="30">
        <f t="shared" si="6"/>
        <v>44.499999999999993</v>
      </c>
      <c r="H39" s="48">
        <f t="shared" si="0"/>
        <v>80.909090909090892</v>
      </c>
      <c r="I39" s="3"/>
    </row>
    <row r="40" spans="1:9" ht="17.25" hidden="1" customHeight="1" outlineLevel="1">
      <c r="A40" s="1"/>
      <c r="B40" s="29" t="s">
        <v>12</v>
      </c>
      <c r="C40" s="1" t="s">
        <v>47</v>
      </c>
      <c r="D40" s="19">
        <f>D43+D46</f>
        <v>158.39885999999998</v>
      </c>
      <c r="E40" s="19">
        <f>E43+E46</f>
        <v>183.05099999999999</v>
      </c>
      <c r="F40" s="19">
        <f>F43+F46</f>
        <v>126.5</v>
      </c>
      <c r="G40" s="19">
        <f>G43+G46</f>
        <v>112.13999999999999</v>
      </c>
      <c r="H40" s="48">
        <f t="shared" si="0"/>
        <v>88.648221343873516</v>
      </c>
      <c r="I40" s="3"/>
    </row>
    <row r="41" spans="1:9" ht="17.25" customHeight="1" collapsed="1">
      <c r="A41" s="1" t="s">
        <v>185</v>
      </c>
      <c r="B41" s="100" t="s">
        <v>208</v>
      </c>
      <c r="C41" s="1" t="s">
        <v>20</v>
      </c>
      <c r="D41" s="26">
        <v>28.22</v>
      </c>
      <c r="E41" s="26">
        <v>38.700000000000003</v>
      </c>
      <c r="F41" s="26">
        <v>23</v>
      </c>
      <c r="G41" s="26">
        <v>25.2</v>
      </c>
      <c r="H41" s="48">
        <f t="shared" si="0"/>
        <v>109.56521739130434</v>
      </c>
      <c r="I41" s="3"/>
    </row>
    <row r="42" spans="1:9" ht="17.25" customHeight="1">
      <c r="A42" s="1"/>
      <c r="B42" s="100" t="s">
        <v>11</v>
      </c>
      <c r="C42" s="1" t="s">
        <v>6</v>
      </c>
      <c r="D42" s="25">
        <v>56.13</v>
      </c>
      <c r="E42" s="25">
        <v>47.3</v>
      </c>
      <c r="F42" s="25">
        <v>55</v>
      </c>
      <c r="G42" s="25">
        <v>44.5</v>
      </c>
      <c r="H42" s="48">
        <f t="shared" si="0"/>
        <v>80.909090909090907</v>
      </c>
      <c r="I42" s="3"/>
    </row>
    <row r="43" spans="1:9" ht="17.25" customHeight="1">
      <c r="A43" s="1"/>
      <c r="B43" s="101" t="s">
        <v>12</v>
      </c>
      <c r="C43" s="1" t="s">
        <v>47</v>
      </c>
      <c r="D43" s="26">
        <f t="shared" ref="D43:G43" si="7">D42*D41/10</f>
        <v>158.39885999999998</v>
      </c>
      <c r="E43" s="26">
        <f t="shared" si="7"/>
        <v>183.05099999999999</v>
      </c>
      <c r="F43" s="26">
        <f t="shared" si="7"/>
        <v>126.5</v>
      </c>
      <c r="G43" s="26">
        <f t="shared" si="7"/>
        <v>112.13999999999999</v>
      </c>
      <c r="H43" s="48">
        <f t="shared" si="0"/>
        <v>88.648221343873516</v>
      </c>
      <c r="I43" s="3"/>
    </row>
    <row r="44" spans="1:9" ht="17.25" hidden="1" customHeight="1" outlineLevel="1">
      <c r="A44" s="1"/>
      <c r="B44" s="100"/>
      <c r="C44" s="1"/>
      <c r="D44" s="26"/>
      <c r="E44" s="26"/>
      <c r="F44" s="26"/>
      <c r="G44" s="26"/>
      <c r="H44" s="48"/>
      <c r="I44" s="3"/>
    </row>
    <row r="45" spans="1:9" ht="17.25" hidden="1" customHeight="1" outlineLevel="1">
      <c r="A45" s="1"/>
      <c r="B45" s="100"/>
      <c r="C45" s="1"/>
      <c r="D45" s="25"/>
      <c r="E45" s="25"/>
      <c r="F45" s="25"/>
      <c r="G45" s="25"/>
      <c r="H45" s="48"/>
      <c r="I45" s="3"/>
    </row>
    <row r="46" spans="1:9" ht="17.25" hidden="1" customHeight="1" outlineLevel="1">
      <c r="A46" s="1"/>
      <c r="B46" s="101"/>
      <c r="C46" s="1"/>
      <c r="D46" s="26"/>
      <c r="E46" s="26"/>
      <c r="F46" s="26"/>
      <c r="G46" s="26"/>
      <c r="H46" s="48"/>
      <c r="I46" s="3"/>
    </row>
    <row r="47" spans="1:9" ht="19.5" customHeight="1" collapsed="1">
      <c r="A47" s="8">
        <v>2</v>
      </c>
      <c r="B47" s="12" t="s">
        <v>259</v>
      </c>
      <c r="C47" s="1" t="s">
        <v>20</v>
      </c>
      <c r="D47" s="24">
        <v>6199.5</v>
      </c>
      <c r="E47" s="24">
        <v>5720.5</v>
      </c>
      <c r="F47" s="24">
        <v>6000</v>
      </c>
      <c r="G47" s="24">
        <v>3000</v>
      </c>
      <c r="H47" s="53">
        <f t="shared" si="0"/>
        <v>50</v>
      </c>
      <c r="I47" s="3"/>
    </row>
    <row r="48" spans="1:9" ht="19.5" customHeight="1">
      <c r="A48" s="31"/>
      <c r="B48" s="29" t="s">
        <v>11</v>
      </c>
      <c r="C48" s="1" t="s">
        <v>6</v>
      </c>
      <c r="D48" s="25">
        <f>D49/D47*10</f>
        <v>148.34260827486088</v>
      </c>
      <c r="E48" s="25">
        <v>148.51</v>
      </c>
      <c r="F48" s="25">
        <v>145</v>
      </c>
      <c r="G48" s="25"/>
      <c r="H48" s="53">
        <f t="shared" si="0"/>
        <v>0</v>
      </c>
      <c r="I48" s="3"/>
    </row>
    <row r="49" spans="1:9" ht="19.5" customHeight="1">
      <c r="A49" s="31"/>
      <c r="B49" s="29" t="s">
        <v>12</v>
      </c>
      <c r="C49" s="1" t="s">
        <v>47</v>
      </c>
      <c r="D49" s="26">
        <v>91965</v>
      </c>
      <c r="E49" s="26">
        <f>E48*E47/10</f>
        <v>84955.145499999999</v>
      </c>
      <c r="F49" s="26">
        <f>F48*F47/10</f>
        <v>87000</v>
      </c>
      <c r="G49" s="26">
        <f>G48*G47/10</f>
        <v>0</v>
      </c>
      <c r="H49" s="53">
        <f t="shared" si="0"/>
        <v>0</v>
      </c>
      <c r="I49" s="3"/>
    </row>
    <row r="50" spans="1:9" s="15" customFormat="1" ht="19.5" customHeight="1">
      <c r="A50" s="8">
        <v>3</v>
      </c>
      <c r="B50" s="12" t="s">
        <v>114</v>
      </c>
      <c r="C50" s="8" t="s">
        <v>20</v>
      </c>
      <c r="D50" s="24">
        <v>9.1999999999999993</v>
      </c>
      <c r="E50" s="24">
        <v>10.5</v>
      </c>
      <c r="F50" s="24">
        <v>30</v>
      </c>
      <c r="G50" s="24">
        <v>29.1</v>
      </c>
      <c r="H50" s="53">
        <f t="shared" si="0"/>
        <v>97.000000000000014</v>
      </c>
      <c r="I50" s="69"/>
    </row>
    <row r="51" spans="1:9" ht="19.5" customHeight="1">
      <c r="A51" s="1"/>
      <c r="B51" s="27" t="s">
        <v>53</v>
      </c>
      <c r="C51" s="1" t="s">
        <v>20</v>
      </c>
      <c r="D51" s="26"/>
      <c r="E51" s="26"/>
      <c r="F51" s="26">
        <v>20</v>
      </c>
      <c r="G51" s="26">
        <v>19.100000000000001</v>
      </c>
      <c r="H51" s="48">
        <f t="shared" si="0"/>
        <v>95.5</v>
      </c>
      <c r="I51" s="3"/>
    </row>
    <row r="52" spans="1:9" ht="19.5" customHeight="1">
      <c r="A52" s="31"/>
      <c r="B52" s="29" t="s">
        <v>11</v>
      </c>
      <c r="C52" s="1" t="s">
        <v>6</v>
      </c>
      <c r="D52" s="25"/>
      <c r="E52" s="25">
        <v>600</v>
      </c>
      <c r="F52" s="25">
        <v>733.3</v>
      </c>
      <c r="G52" s="25"/>
      <c r="H52" s="48">
        <f t="shared" si="0"/>
        <v>0</v>
      </c>
      <c r="I52" s="3"/>
    </row>
    <row r="53" spans="1:9" ht="19.5" customHeight="1">
      <c r="A53" s="31"/>
      <c r="B53" s="29" t="s">
        <v>12</v>
      </c>
      <c r="C53" s="1" t="s">
        <v>47</v>
      </c>
      <c r="D53" s="26">
        <f>D52*D50/10</f>
        <v>0</v>
      </c>
      <c r="E53" s="26">
        <f>E52*E50/10</f>
        <v>630</v>
      </c>
      <c r="F53" s="26">
        <f>F52*F50/10</f>
        <v>2199.9</v>
      </c>
      <c r="G53" s="26">
        <f>G52*G50/10</f>
        <v>0</v>
      </c>
      <c r="H53" s="48">
        <f t="shared" si="0"/>
        <v>0</v>
      </c>
      <c r="I53" s="3"/>
    </row>
    <row r="54" spans="1:9" ht="19.5" hidden="1" customHeight="1" outlineLevel="1">
      <c r="A54" s="8">
        <v>4</v>
      </c>
      <c r="B54" s="12" t="s">
        <v>60</v>
      </c>
      <c r="C54" s="1" t="s">
        <v>20</v>
      </c>
      <c r="D54" s="24">
        <f>D57+D60</f>
        <v>97.3</v>
      </c>
      <c r="E54" s="24">
        <f>E57+E60</f>
        <v>137</v>
      </c>
      <c r="F54" s="24">
        <f>F57+F60</f>
        <v>123</v>
      </c>
      <c r="G54" s="24">
        <f>G57+G60</f>
        <v>122.9</v>
      </c>
      <c r="H54" s="53">
        <f t="shared" si="0"/>
        <v>99.918699186991873</v>
      </c>
      <c r="I54" s="3"/>
    </row>
    <row r="55" spans="1:9" ht="19.5" hidden="1" customHeight="1" outlineLevel="1">
      <c r="A55" s="31"/>
      <c r="B55" s="29" t="s">
        <v>11</v>
      </c>
      <c r="C55" s="1" t="s">
        <v>6</v>
      </c>
      <c r="D55" s="25">
        <f t="shared" ref="D55:G55" si="8">D56/D54*10</f>
        <v>145</v>
      </c>
      <c r="E55" s="25">
        <f t="shared" si="8"/>
        <v>152</v>
      </c>
      <c r="F55" s="25">
        <f t="shared" si="8"/>
        <v>151.1</v>
      </c>
      <c r="G55" s="25">
        <f t="shared" si="8"/>
        <v>0</v>
      </c>
      <c r="H55" s="48">
        <f t="shared" si="0"/>
        <v>0</v>
      </c>
      <c r="I55" s="3"/>
    </row>
    <row r="56" spans="1:9" ht="19.5" hidden="1" customHeight="1" outlineLevel="1">
      <c r="A56" s="31"/>
      <c r="B56" s="29" t="s">
        <v>12</v>
      </c>
      <c r="C56" s="1" t="s">
        <v>47</v>
      </c>
      <c r="D56" s="26">
        <f>D59+D62</f>
        <v>1410.85</v>
      </c>
      <c r="E56" s="26">
        <f>E59+E62</f>
        <v>2082.4</v>
      </c>
      <c r="F56" s="26">
        <f>F59+F62</f>
        <v>1858.53</v>
      </c>
      <c r="G56" s="26">
        <f>G59+G62</f>
        <v>0</v>
      </c>
      <c r="H56" s="48">
        <f t="shared" si="0"/>
        <v>0</v>
      </c>
      <c r="I56" s="3"/>
    </row>
    <row r="57" spans="1:9" s="15" customFormat="1" ht="19.5" customHeight="1" collapsed="1">
      <c r="A57" s="8">
        <v>4</v>
      </c>
      <c r="B57" s="148" t="s">
        <v>210</v>
      </c>
      <c r="C57" s="9" t="s">
        <v>20</v>
      </c>
      <c r="D57" s="13">
        <v>97.3</v>
      </c>
      <c r="E57" s="13">
        <v>137</v>
      </c>
      <c r="F57" s="13">
        <v>123</v>
      </c>
      <c r="G57" s="13">
        <f>121+1.9</f>
        <v>122.9</v>
      </c>
      <c r="H57" s="53">
        <f t="shared" si="0"/>
        <v>99.918699186991873</v>
      </c>
      <c r="I57" s="69"/>
    </row>
    <row r="58" spans="1:9" ht="19.5" customHeight="1">
      <c r="A58" s="1"/>
      <c r="B58" s="118" t="s">
        <v>11</v>
      </c>
      <c r="C58" s="18" t="s">
        <v>6</v>
      </c>
      <c r="D58" s="30">
        <v>145</v>
      </c>
      <c r="E58" s="30">
        <v>152</v>
      </c>
      <c r="F58" s="30">
        <v>151.1</v>
      </c>
      <c r="G58" s="30"/>
      <c r="H58" s="48">
        <f t="shared" si="0"/>
        <v>0</v>
      </c>
      <c r="I58" s="3"/>
    </row>
    <row r="59" spans="1:9" ht="19.5" customHeight="1">
      <c r="A59" s="1"/>
      <c r="B59" s="118" t="s">
        <v>12</v>
      </c>
      <c r="C59" s="18" t="s">
        <v>47</v>
      </c>
      <c r="D59" s="19">
        <f t="shared" ref="D59:G59" si="9">D58*D57/10</f>
        <v>1410.85</v>
      </c>
      <c r="E59" s="19">
        <f t="shared" si="9"/>
        <v>2082.4</v>
      </c>
      <c r="F59" s="19">
        <f t="shared" si="9"/>
        <v>1858.53</v>
      </c>
      <c r="G59" s="19">
        <f t="shared" si="9"/>
        <v>0</v>
      </c>
      <c r="H59" s="48">
        <f t="shared" si="0"/>
        <v>0</v>
      </c>
      <c r="I59" s="3"/>
    </row>
    <row r="60" spans="1:9" ht="19.5" hidden="1" customHeight="1" outlineLevel="1">
      <c r="A60" s="1"/>
      <c r="B60" s="118"/>
      <c r="C60" s="18"/>
      <c r="D60" s="19"/>
      <c r="E60" s="19"/>
      <c r="F60" s="19"/>
      <c r="G60" s="19"/>
      <c r="H60" s="48"/>
      <c r="I60" s="3"/>
    </row>
    <row r="61" spans="1:9" ht="19.5" hidden="1" customHeight="1" outlineLevel="1">
      <c r="A61" s="1"/>
      <c r="B61" s="118"/>
      <c r="C61" s="18"/>
      <c r="D61" s="30"/>
      <c r="E61" s="30"/>
      <c r="F61" s="30"/>
      <c r="G61" s="30"/>
      <c r="H61" s="48"/>
      <c r="I61" s="3"/>
    </row>
    <row r="62" spans="1:9" ht="19.5" hidden="1" customHeight="1" outlineLevel="1">
      <c r="A62" s="1"/>
      <c r="B62" s="118"/>
      <c r="C62" s="18"/>
      <c r="D62" s="19"/>
      <c r="E62" s="19"/>
      <c r="F62" s="19"/>
      <c r="G62" s="19"/>
      <c r="H62" s="48"/>
      <c r="I62" s="3"/>
    </row>
    <row r="63" spans="1:9" s="15" customFormat="1" ht="31.2" hidden="1" outlineLevel="1" collapsed="1">
      <c r="A63" s="8">
        <v>5</v>
      </c>
      <c r="B63" s="12" t="s">
        <v>179</v>
      </c>
      <c r="C63" s="8" t="s">
        <v>20</v>
      </c>
      <c r="D63" s="28">
        <f t="shared" ref="D63:E63" si="10">SUM(D64:D66)</f>
        <v>7.5</v>
      </c>
      <c r="E63" s="28">
        <f t="shared" si="10"/>
        <v>31.2</v>
      </c>
      <c r="F63" s="28"/>
      <c r="G63" s="28"/>
      <c r="H63" s="53" t="str">
        <f t="shared" si="0"/>
        <v/>
      </c>
      <c r="I63" s="69"/>
    </row>
    <row r="64" spans="1:9" ht="19.5" hidden="1" customHeight="1" outlineLevel="1">
      <c r="A64" s="1"/>
      <c r="B64" s="17" t="s">
        <v>170</v>
      </c>
      <c r="C64" s="1" t="s">
        <v>20</v>
      </c>
      <c r="D64" s="25">
        <v>3.7</v>
      </c>
      <c r="E64" s="25">
        <v>4</v>
      </c>
      <c r="F64" s="25">
        <v>4</v>
      </c>
      <c r="G64" s="25">
        <v>2.5</v>
      </c>
      <c r="H64" s="48">
        <f t="shared" si="0"/>
        <v>62.5</v>
      </c>
      <c r="I64" s="3"/>
    </row>
    <row r="65" spans="1:10" ht="19.5" hidden="1" customHeight="1" outlineLevel="1">
      <c r="A65" s="1"/>
      <c r="B65" s="17" t="s">
        <v>171</v>
      </c>
      <c r="C65" s="1" t="s">
        <v>20</v>
      </c>
      <c r="D65" s="25">
        <v>3.8</v>
      </c>
      <c r="E65" s="25">
        <v>4</v>
      </c>
      <c r="F65" s="25">
        <v>4</v>
      </c>
      <c r="G65" s="25">
        <v>1.8</v>
      </c>
      <c r="H65" s="48">
        <f t="shared" si="0"/>
        <v>45</v>
      </c>
      <c r="I65" s="3"/>
    </row>
    <row r="66" spans="1:10" ht="19.5" hidden="1" customHeight="1" outlineLevel="1">
      <c r="A66" s="1"/>
      <c r="B66" s="17" t="s">
        <v>172</v>
      </c>
      <c r="C66" s="1" t="s">
        <v>20</v>
      </c>
      <c r="D66" s="25"/>
      <c r="E66" s="25">
        <v>23.2</v>
      </c>
      <c r="F66" s="25">
        <v>24</v>
      </c>
      <c r="G66" s="25">
        <v>15.1</v>
      </c>
      <c r="H66" s="48">
        <f t="shared" si="0"/>
        <v>62.916666666666664</v>
      </c>
      <c r="I66" s="3"/>
    </row>
    <row r="67" spans="1:10" ht="17.25" customHeight="1" collapsed="1">
      <c r="A67" s="21" t="s">
        <v>22</v>
      </c>
      <c r="B67" s="12" t="s">
        <v>52</v>
      </c>
      <c r="C67" s="8" t="s">
        <v>20</v>
      </c>
      <c r="D67" s="24">
        <f t="shared" ref="D67:G67" si="11">D68+D80+D81</f>
        <v>9814</v>
      </c>
      <c r="E67" s="24">
        <f t="shared" si="11"/>
        <v>10071.6</v>
      </c>
      <c r="F67" s="24">
        <f t="shared" si="11"/>
        <v>9772.1</v>
      </c>
      <c r="G67" s="24">
        <f t="shared" si="11"/>
        <v>9677.2000000000007</v>
      </c>
      <c r="H67" s="53">
        <f t="shared" si="0"/>
        <v>99.028867899427965</v>
      </c>
      <c r="I67" s="3"/>
    </row>
    <row r="68" spans="1:10" s="15" customFormat="1" ht="17.25" customHeight="1">
      <c r="A68" s="21">
        <v>1</v>
      </c>
      <c r="B68" s="20" t="s">
        <v>199</v>
      </c>
      <c r="C68" s="8" t="s">
        <v>20</v>
      </c>
      <c r="D68" s="24">
        <f t="shared" ref="D68:G68" si="12">D69+D74</f>
        <v>9537.2999999999993</v>
      </c>
      <c r="E68" s="24">
        <f t="shared" si="12"/>
        <v>9722.1</v>
      </c>
      <c r="F68" s="24">
        <f t="shared" si="12"/>
        <v>9772.1</v>
      </c>
      <c r="G68" s="24">
        <f t="shared" si="12"/>
        <v>9677.2000000000007</v>
      </c>
      <c r="H68" s="53">
        <f t="shared" si="0"/>
        <v>99.028867899427965</v>
      </c>
      <c r="I68" s="69"/>
    </row>
    <row r="69" spans="1:10" s="15" customFormat="1" ht="17.25" customHeight="1">
      <c r="A69" s="8" t="s">
        <v>17</v>
      </c>
      <c r="B69" s="12" t="s">
        <v>196</v>
      </c>
      <c r="C69" s="8" t="s">
        <v>20</v>
      </c>
      <c r="D69" s="13">
        <v>1743.8</v>
      </c>
      <c r="E69" s="13">
        <f>D69+E70</f>
        <v>1919.5</v>
      </c>
      <c r="F69" s="13">
        <f>E69+F70</f>
        <v>1969.5</v>
      </c>
      <c r="G69" s="13">
        <f>E69+G70</f>
        <v>1919.5</v>
      </c>
      <c r="H69" s="53">
        <f t="shared" si="0"/>
        <v>97.461284589997462</v>
      </c>
      <c r="I69" s="69"/>
    </row>
    <row r="70" spans="1:10" ht="17.25" customHeight="1">
      <c r="A70" s="1"/>
      <c r="B70" s="17" t="s">
        <v>53</v>
      </c>
      <c r="C70" s="1" t="s">
        <v>20</v>
      </c>
      <c r="D70" s="30">
        <v>185.9</v>
      </c>
      <c r="E70" s="30">
        <v>175.7</v>
      </c>
      <c r="F70" s="30">
        <v>50</v>
      </c>
      <c r="G70" s="30"/>
      <c r="H70" s="48">
        <f t="shared" si="0"/>
        <v>0</v>
      </c>
      <c r="I70" s="3"/>
    </row>
    <row r="71" spans="1:10" ht="17.25" hidden="1" customHeight="1" outlineLevel="1">
      <c r="A71" s="1"/>
      <c r="B71" s="17" t="s">
        <v>54</v>
      </c>
      <c r="C71" s="1" t="s">
        <v>20</v>
      </c>
      <c r="D71" s="19">
        <v>1246</v>
      </c>
      <c r="E71" s="19">
        <v>1384</v>
      </c>
      <c r="F71" s="19">
        <v>1559</v>
      </c>
      <c r="G71" s="19"/>
      <c r="H71" s="48">
        <f t="shared" si="0"/>
        <v>0</v>
      </c>
      <c r="I71" s="3"/>
      <c r="J71" s="67"/>
    </row>
    <row r="72" spans="1:10" ht="17.25" hidden="1" customHeight="1" outlineLevel="1">
      <c r="A72" s="1"/>
      <c r="B72" s="17" t="s">
        <v>55</v>
      </c>
      <c r="C72" s="1" t="s">
        <v>6</v>
      </c>
      <c r="D72" s="30">
        <v>31.73</v>
      </c>
      <c r="E72" s="30">
        <v>35.65</v>
      </c>
      <c r="F72" s="30">
        <v>35</v>
      </c>
      <c r="G72" s="30"/>
      <c r="H72" s="48">
        <f t="shared" si="0"/>
        <v>0</v>
      </c>
      <c r="I72" s="3"/>
    </row>
    <row r="73" spans="1:10" ht="17.25" hidden="1" customHeight="1" outlineLevel="1">
      <c r="A73" s="1"/>
      <c r="B73" s="17" t="s">
        <v>115</v>
      </c>
      <c r="C73" s="1" t="s">
        <v>47</v>
      </c>
      <c r="D73" s="19">
        <f>D71*D72/10</f>
        <v>3953.558</v>
      </c>
      <c r="E73" s="19">
        <f>E71*E72/10</f>
        <v>4933.96</v>
      </c>
      <c r="F73" s="19">
        <f>F71*F72/10</f>
        <v>5456.5</v>
      </c>
      <c r="G73" s="19">
        <f>G71*G72/10</f>
        <v>0</v>
      </c>
      <c r="H73" s="48">
        <f t="shared" si="0"/>
        <v>0</v>
      </c>
      <c r="I73" s="3"/>
    </row>
    <row r="74" spans="1:10" s="15" customFormat="1" ht="17.25" customHeight="1" collapsed="1">
      <c r="A74" s="8" t="s">
        <v>18</v>
      </c>
      <c r="B74" s="12" t="s">
        <v>197</v>
      </c>
      <c r="C74" s="8" t="s">
        <v>20</v>
      </c>
      <c r="D74" s="13">
        <v>7793.5</v>
      </c>
      <c r="E74" s="13">
        <f>D74+E75-E76</f>
        <v>7802.6</v>
      </c>
      <c r="F74" s="13">
        <f>E74+F75-F76</f>
        <v>7802.6</v>
      </c>
      <c r="G74" s="13">
        <f>E74+G75-G76</f>
        <v>7757.7000000000007</v>
      </c>
      <c r="H74" s="53">
        <f t="shared" si="0"/>
        <v>99.424550790762055</v>
      </c>
      <c r="I74" s="69"/>
    </row>
    <row r="75" spans="1:10" ht="17.25" customHeight="1">
      <c r="A75" s="1"/>
      <c r="B75" s="17" t="s">
        <v>53</v>
      </c>
      <c r="C75" s="1" t="s">
        <v>20</v>
      </c>
      <c r="D75" s="35">
        <v>0</v>
      </c>
      <c r="E75" s="25">
        <v>24.6</v>
      </c>
      <c r="F75" s="35"/>
      <c r="G75" s="35"/>
      <c r="H75" s="48" t="str">
        <f t="shared" ref="H75:H138" si="13">IFERROR(G75/F75%,"")</f>
        <v/>
      </c>
      <c r="I75" s="3"/>
    </row>
    <row r="76" spans="1:10" ht="17.25" customHeight="1">
      <c r="A76" s="1"/>
      <c r="B76" s="17" t="s">
        <v>116</v>
      </c>
      <c r="C76" s="1" t="s">
        <v>20</v>
      </c>
      <c r="D76" s="25">
        <v>81.5</v>
      </c>
      <c r="E76" s="25">
        <v>15.5</v>
      </c>
      <c r="F76" s="35"/>
      <c r="G76" s="35">
        <v>44.9</v>
      </c>
      <c r="H76" s="48" t="str">
        <f t="shared" si="13"/>
        <v/>
      </c>
      <c r="I76" s="3"/>
    </row>
    <row r="77" spans="1:10" ht="17.25" hidden="1" customHeight="1" outlineLevel="1">
      <c r="A77" s="1"/>
      <c r="B77" s="17" t="s">
        <v>54</v>
      </c>
      <c r="C77" s="1" t="s">
        <v>20</v>
      </c>
      <c r="D77" s="19">
        <v>4821</v>
      </c>
      <c r="E77" s="19">
        <v>5385</v>
      </c>
      <c r="F77" s="19">
        <v>5755</v>
      </c>
      <c r="G77" s="19"/>
      <c r="H77" s="48">
        <f t="shared" si="13"/>
        <v>0</v>
      </c>
      <c r="I77" s="3"/>
    </row>
    <row r="78" spans="1:10" ht="17.25" hidden="1" customHeight="1" outlineLevel="1">
      <c r="A78" s="1"/>
      <c r="B78" s="17" t="s">
        <v>56</v>
      </c>
      <c r="C78" s="1" t="s">
        <v>6</v>
      </c>
      <c r="D78" s="30">
        <v>12.33</v>
      </c>
      <c r="E78" s="30">
        <v>12.35</v>
      </c>
      <c r="F78" s="30">
        <v>12.5</v>
      </c>
      <c r="G78" s="30"/>
      <c r="H78" s="48">
        <f t="shared" si="13"/>
        <v>0</v>
      </c>
      <c r="I78" s="3"/>
    </row>
    <row r="79" spans="1:10" ht="17.25" hidden="1" customHeight="1" outlineLevel="1">
      <c r="A79" s="1"/>
      <c r="B79" s="17" t="s">
        <v>225</v>
      </c>
      <c r="C79" s="1" t="s">
        <v>47</v>
      </c>
      <c r="D79" s="19">
        <f>D77*D78/10</f>
        <v>5944.2929999999997</v>
      </c>
      <c r="E79" s="19">
        <f>E77*E78/10</f>
        <v>6650.4750000000004</v>
      </c>
      <c r="F79" s="19">
        <f>F77*F78/10</f>
        <v>7193.75</v>
      </c>
      <c r="G79" s="19">
        <f>G77*G78/10</f>
        <v>0</v>
      </c>
      <c r="H79" s="48">
        <f t="shared" si="13"/>
        <v>0</v>
      </c>
      <c r="I79" s="3"/>
    </row>
    <row r="80" spans="1:10" s="15" customFormat="1" ht="17.25" hidden="1" customHeight="1" outlineLevel="1" collapsed="1">
      <c r="A80" s="8">
        <v>2</v>
      </c>
      <c r="B80" s="12" t="s">
        <v>78</v>
      </c>
      <c r="C80" s="8" t="s">
        <v>20</v>
      </c>
      <c r="D80" s="13">
        <v>155.19999999999999</v>
      </c>
      <c r="E80" s="13">
        <v>218.9</v>
      </c>
      <c r="F80" s="13"/>
      <c r="G80" s="13"/>
      <c r="H80" s="53" t="str">
        <f t="shared" si="13"/>
        <v/>
      </c>
      <c r="I80" s="69"/>
    </row>
    <row r="81" spans="1:11" s="15" customFormat="1" ht="31.2" hidden="1" outlineLevel="1">
      <c r="A81" s="8">
        <v>3</v>
      </c>
      <c r="B81" s="12" t="s">
        <v>178</v>
      </c>
      <c r="C81" s="8" t="s">
        <v>20</v>
      </c>
      <c r="D81" s="13">
        <f t="shared" ref="D81:E81" si="14">SUM(D82:D86)</f>
        <v>121.5</v>
      </c>
      <c r="E81" s="13">
        <f t="shared" si="14"/>
        <v>130.60000000000002</v>
      </c>
      <c r="F81" s="13"/>
      <c r="G81" s="13"/>
      <c r="H81" s="53" t="str">
        <f t="shared" si="13"/>
        <v/>
      </c>
      <c r="I81" s="69"/>
      <c r="J81" s="73"/>
      <c r="K81" s="73"/>
    </row>
    <row r="82" spans="1:11" ht="17.25" hidden="1" customHeight="1" outlineLevel="2">
      <c r="A82" s="1"/>
      <c r="B82" s="17" t="s">
        <v>173</v>
      </c>
      <c r="C82" s="1" t="s">
        <v>20</v>
      </c>
      <c r="D82" s="30">
        <v>18.5</v>
      </c>
      <c r="E82" s="30">
        <v>17</v>
      </c>
      <c r="F82" s="30">
        <v>17</v>
      </c>
      <c r="G82" s="30">
        <v>17</v>
      </c>
      <c r="H82" s="48">
        <f t="shared" si="13"/>
        <v>99.999999999999986</v>
      </c>
      <c r="I82" s="3"/>
    </row>
    <row r="83" spans="1:11" ht="17.25" hidden="1" customHeight="1" outlineLevel="2">
      <c r="A83" s="1"/>
      <c r="B83" s="17" t="s">
        <v>174</v>
      </c>
      <c r="C83" s="1" t="s">
        <v>20</v>
      </c>
      <c r="D83" s="30">
        <v>54.6</v>
      </c>
      <c r="E83" s="30">
        <v>61.9</v>
      </c>
      <c r="F83" s="30">
        <v>62</v>
      </c>
      <c r="G83" s="30">
        <v>61.9</v>
      </c>
      <c r="H83" s="48">
        <f t="shared" si="13"/>
        <v>99.838709677419359</v>
      </c>
      <c r="I83" s="3"/>
    </row>
    <row r="84" spans="1:11" ht="17.25" hidden="1" customHeight="1" outlineLevel="2">
      <c r="A84" s="1"/>
      <c r="B84" s="17" t="s">
        <v>175</v>
      </c>
      <c r="C84" s="1"/>
      <c r="D84" s="30">
        <v>2</v>
      </c>
      <c r="E84" s="30">
        <v>2</v>
      </c>
      <c r="F84" s="30">
        <v>2</v>
      </c>
      <c r="G84" s="30">
        <v>2</v>
      </c>
      <c r="H84" s="48">
        <f t="shared" si="13"/>
        <v>100</v>
      </c>
      <c r="I84" s="3"/>
    </row>
    <row r="85" spans="1:11" ht="17.25" hidden="1" customHeight="1" outlineLevel="2">
      <c r="A85" s="1"/>
      <c r="B85" s="17" t="s">
        <v>176</v>
      </c>
      <c r="C85" s="1"/>
      <c r="D85" s="30">
        <v>46.4</v>
      </c>
      <c r="E85" s="30">
        <v>30.4</v>
      </c>
      <c r="F85" s="30">
        <v>30</v>
      </c>
      <c r="G85" s="30">
        <v>30</v>
      </c>
      <c r="H85" s="48">
        <f t="shared" si="13"/>
        <v>100</v>
      </c>
      <c r="I85" s="3"/>
    </row>
    <row r="86" spans="1:11" ht="17.25" hidden="1" customHeight="1" outlineLevel="2">
      <c r="A86" s="1"/>
      <c r="B86" s="17" t="s">
        <v>177</v>
      </c>
      <c r="C86" s="1"/>
      <c r="D86" s="30"/>
      <c r="E86" s="30">
        <v>19.3</v>
      </c>
      <c r="F86" s="30">
        <v>19</v>
      </c>
      <c r="G86" s="30">
        <v>19</v>
      </c>
      <c r="H86" s="48">
        <f t="shared" si="13"/>
        <v>100</v>
      </c>
      <c r="I86" s="3"/>
    </row>
    <row r="87" spans="1:11" ht="18.75" customHeight="1" collapsed="1">
      <c r="A87" s="8" t="s">
        <v>25</v>
      </c>
      <c r="B87" s="12" t="s">
        <v>48</v>
      </c>
      <c r="C87" s="1"/>
      <c r="D87" s="25"/>
      <c r="E87" s="30"/>
      <c r="F87" s="30"/>
      <c r="G87" s="30"/>
      <c r="H87" s="53" t="str">
        <f t="shared" si="13"/>
        <v/>
      </c>
      <c r="I87" s="3"/>
    </row>
    <row r="88" spans="1:11" s="15" customFormat="1" ht="18.75" customHeight="1">
      <c r="A88" s="8">
        <v>1</v>
      </c>
      <c r="B88" s="12" t="s">
        <v>198</v>
      </c>
      <c r="C88" s="8" t="s">
        <v>31</v>
      </c>
      <c r="D88" s="24">
        <f>SUM(D89:D91)</f>
        <v>20219</v>
      </c>
      <c r="E88" s="24">
        <f t="shared" ref="E88:G88" si="15">SUM(E89:E91)</f>
        <v>18350</v>
      </c>
      <c r="F88" s="24">
        <f t="shared" si="15"/>
        <v>20650</v>
      </c>
      <c r="G88" s="24">
        <f t="shared" si="15"/>
        <v>19653</v>
      </c>
      <c r="H88" s="53">
        <f t="shared" si="13"/>
        <v>95.171912832929777</v>
      </c>
      <c r="I88" s="69"/>
    </row>
    <row r="89" spans="1:11" ht="18.75" customHeight="1">
      <c r="A89" s="1"/>
      <c r="B89" s="17" t="s">
        <v>117</v>
      </c>
      <c r="C89" s="1" t="s">
        <v>31</v>
      </c>
      <c r="D89" s="26">
        <v>2461</v>
      </c>
      <c r="E89" s="26">
        <v>2550</v>
      </c>
      <c r="F89" s="26">
        <v>2650</v>
      </c>
      <c r="G89" s="26">
        <v>2510</v>
      </c>
      <c r="H89" s="48">
        <f t="shared" si="13"/>
        <v>94.716981132075475</v>
      </c>
      <c r="I89" s="3"/>
    </row>
    <row r="90" spans="1:11" ht="18.75" customHeight="1">
      <c r="A90" s="1"/>
      <c r="B90" s="17" t="s">
        <v>118</v>
      </c>
      <c r="C90" s="1" t="s">
        <v>31</v>
      </c>
      <c r="D90" s="26">
        <v>4034</v>
      </c>
      <c r="E90" s="26">
        <v>4800</v>
      </c>
      <c r="F90" s="26">
        <v>5000</v>
      </c>
      <c r="G90" s="26">
        <v>4761</v>
      </c>
      <c r="H90" s="48">
        <f t="shared" si="13"/>
        <v>95.22</v>
      </c>
      <c r="I90" s="3"/>
    </row>
    <row r="91" spans="1:11" ht="18.75" customHeight="1">
      <c r="A91" s="1"/>
      <c r="B91" s="17" t="s">
        <v>119</v>
      </c>
      <c r="C91" s="1" t="s">
        <v>31</v>
      </c>
      <c r="D91" s="26">
        <v>13724</v>
      </c>
      <c r="E91" s="26">
        <v>11000</v>
      </c>
      <c r="F91" s="26">
        <v>13000</v>
      </c>
      <c r="G91" s="26">
        <v>12382</v>
      </c>
      <c r="H91" s="48">
        <f t="shared" si="13"/>
        <v>95.246153846153845</v>
      </c>
      <c r="I91" s="3"/>
    </row>
    <row r="92" spans="1:11" s="15" customFormat="1" ht="18.75" customHeight="1">
      <c r="A92" s="8">
        <v>2</v>
      </c>
      <c r="B92" s="36" t="s">
        <v>15</v>
      </c>
      <c r="C92" s="8" t="s">
        <v>31</v>
      </c>
      <c r="D92" s="24">
        <v>77894</v>
      </c>
      <c r="E92" s="24">
        <v>87000</v>
      </c>
      <c r="F92" s="24">
        <v>87000</v>
      </c>
      <c r="G92" s="24">
        <v>74830</v>
      </c>
      <c r="H92" s="53">
        <f t="shared" si="13"/>
        <v>86.011494252873561</v>
      </c>
      <c r="I92" s="69"/>
    </row>
    <row r="93" spans="1:11" s="15" customFormat="1" ht="18.75" customHeight="1">
      <c r="A93" s="8" t="s">
        <v>26</v>
      </c>
      <c r="B93" s="36" t="s">
        <v>120</v>
      </c>
      <c r="C93" s="8"/>
      <c r="D93" s="24"/>
      <c r="E93" s="24"/>
      <c r="F93" s="24"/>
      <c r="G93" s="24"/>
      <c r="H93" s="53" t="str">
        <f t="shared" si="13"/>
        <v/>
      </c>
      <c r="I93" s="69"/>
    </row>
    <row r="94" spans="1:11" ht="18.75" customHeight="1">
      <c r="A94" s="1">
        <v>1</v>
      </c>
      <c r="B94" s="29" t="s">
        <v>121</v>
      </c>
      <c r="C94" s="1" t="s">
        <v>20</v>
      </c>
      <c r="D94" s="25">
        <v>85</v>
      </c>
      <c r="E94" s="25">
        <v>85.5</v>
      </c>
      <c r="F94" s="25">
        <v>85.5</v>
      </c>
      <c r="G94" s="25">
        <v>86.1</v>
      </c>
      <c r="H94" s="48">
        <f t="shared" si="13"/>
        <v>100.7017543859649</v>
      </c>
      <c r="I94" s="3"/>
    </row>
    <row r="95" spans="1:11" ht="18.75" customHeight="1">
      <c r="A95" s="1">
        <v>2</v>
      </c>
      <c r="B95" s="29" t="s">
        <v>122</v>
      </c>
      <c r="C95" s="1" t="s">
        <v>47</v>
      </c>
      <c r="D95" s="26">
        <f t="shared" ref="D95:G95" si="16">D96+D97</f>
        <v>427.4</v>
      </c>
      <c r="E95" s="26">
        <f t="shared" si="16"/>
        <v>320</v>
      </c>
      <c r="F95" s="26">
        <f t="shared" si="16"/>
        <v>335</v>
      </c>
      <c r="G95" s="26">
        <f t="shared" si="16"/>
        <v>63</v>
      </c>
      <c r="H95" s="48">
        <f t="shared" si="13"/>
        <v>18.805970149253731</v>
      </c>
      <c r="I95" s="3"/>
    </row>
    <row r="96" spans="1:11" ht="18.75" customHeight="1">
      <c r="A96" s="1"/>
      <c r="B96" s="38" t="s">
        <v>123</v>
      </c>
      <c r="C96" s="1" t="s">
        <v>47</v>
      </c>
      <c r="D96" s="26">
        <v>211.9</v>
      </c>
      <c r="E96" s="26">
        <v>210</v>
      </c>
      <c r="F96" s="26">
        <v>210</v>
      </c>
      <c r="G96" s="26">
        <v>47</v>
      </c>
      <c r="H96" s="48">
        <f t="shared" si="13"/>
        <v>22.38095238095238</v>
      </c>
      <c r="I96" s="3"/>
    </row>
    <row r="97" spans="1:10" ht="18.75" customHeight="1">
      <c r="A97" s="1"/>
      <c r="B97" s="38" t="s">
        <v>124</v>
      </c>
      <c r="C97" s="1" t="s">
        <v>47</v>
      </c>
      <c r="D97" s="26">
        <v>215.5</v>
      </c>
      <c r="E97" s="26">
        <v>110</v>
      </c>
      <c r="F97" s="26">
        <v>125</v>
      </c>
      <c r="G97" s="26">
        <v>16</v>
      </c>
      <c r="H97" s="48">
        <f t="shared" si="13"/>
        <v>12.8</v>
      </c>
      <c r="I97" s="3"/>
    </row>
    <row r="98" spans="1:10">
      <c r="A98" s="39" t="s">
        <v>28</v>
      </c>
      <c r="B98" s="40" t="s">
        <v>49</v>
      </c>
      <c r="C98" s="39"/>
      <c r="D98" s="10"/>
      <c r="E98" s="10"/>
      <c r="F98" s="10"/>
      <c r="G98" s="10"/>
      <c r="H98" s="53" t="str">
        <f t="shared" si="13"/>
        <v/>
      </c>
      <c r="I98" s="3"/>
    </row>
    <row r="99" spans="1:10" ht="19.5" customHeight="1">
      <c r="A99" s="41"/>
      <c r="B99" s="42" t="s">
        <v>125</v>
      </c>
      <c r="C99" s="1" t="s">
        <v>20</v>
      </c>
      <c r="D99" s="43">
        <v>500.3</v>
      </c>
      <c r="E99" s="43">
        <v>4</v>
      </c>
      <c r="F99" s="43"/>
      <c r="G99" s="43"/>
      <c r="H99" s="53" t="str">
        <f t="shared" si="13"/>
        <v/>
      </c>
      <c r="I99" s="3"/>
    </row>
    <row r="100" spans="1:10" s="15" customFormat="1" ht="17.25" customHeight="1">
      <c r="A100" s="8">
        <v>1</v>
      </c>
      <c r="B100" s="12" t="s">
        <v>14</v>
      </c>
      <c r="C100" s="8" t="s">
        <v>20</v>
      </c>
      <c r="D100" s="13">
        <v>1646</v>
      </c>
      <c r="E100" s="13">
        <f>D100+E101</f>
        <v>1675</v>
      </c>
      <c r="F100" s="13">
        <f>E100+F101</f>
        <v>1710</v>
      </c>
      <c r="G100" s="13">
        <f>E100+G101</f>
        <v>1675</v>
      </c>
      <c r="H100" s="53">
        <f t="shared" si="13"/>
        <v>97.953216374269005</v>
      </c>
      <c r="I100" s="69"/>
      <c r="J100" s="73"/>
    </row>
    <row r="101" spans="1:10" ht="17.25" customHeight="1">
      <c r="A101" s="1"/>
      <c r="B101" s="17" t="s">
        <v>53</v>
      </c>
      <c r="C101" s="1" t="s">
        <v>20</v>
      </c>
      <c r="D101" s="19">
        <v>57.2</v>
      </c>
      <c r="E101" s="19">
        <v>29</v>
      </c>
      <c r="F101" s="19">
        <v>35</v>
      </c>
      <c r="G101" s="19"/>
      <c r="H101" s="53">
        <f t="shared" si="13"/>
        <v>0</v>
      </c>
      <c r="I101" s="3"/>
    </row>
    <row r="102" spans="1:10" s="15" customFormat="1">
      <c r="A102" s="90" t="s">
        <v>76</v>
      </c>
      <c r="B102" s="107" t="s">
        <v>80</v>
      </c>
      <c r="C102" s="90"/>
      <c r="D102" s="108"/>
      <c r="E102" s="108"/>
      <c r="F102" s="108"/>
      <c r="G102" s="108"/>
      <c r="H102" s="94" t="str">
        <f t="shared" si="13"/>
        <v/>
      </c>
      <c r="I102" s="94"/>
    </row>
    <row r="103" spans="1:10" ht="22.5" customHeight="1">
      <c r="A103" s="1">
        <v>1</v>
      </c>
      <c r="B103" s="38" t="s">
        <v>200</v>
      </c>
      <c r="C103" s="1" t="s">
        <v>126</v>
      </c>
      <c r="D103" s="26">
        <v>676693</v>
      </c>
      <c r="E103" s="26">
        <v>708000</v>
      </c>
      <c r="F103" s="26">
        <v>722000</v>
      </c>
      <c r="G103" s="26"/>
      <c r="H103" s="48">
        <f t="shared" si="13"/>
        <v>0</v>
      </c>
      <c r="I103" s="3"/>
    </row>
    <row r="104" spans="1:10" ht="20.25" customHeight="1">
      <c r="A104" s="1">
        <v>2</v>
      </c>
      <c r="B104" s="17" t="s">
        <v>128</v>
      </c>
      <c r="C104" s="1"/>
      <c r="D104" s="10"/>
      <c r="E104" s="10"/>
      <c r="F104" s="10"/>
      <c r="G104" s="10"/>
      <c r="H104" s="48" t="str">
        <f t="shared" si="13"/>
        <v/>
      </c>
      <c r="I104" s="3"/>
    </row>
    <row r="105" spans="1:10" ht="20.25" customHeight="1">
      <c r="A105" s="1"/>
      <c r="B105" s="17" t="s">
        <v>129</v>
      </c>
      <c r="C105" s="1" t="s">
        <v>40</v>
      </c>
      <c r="D105" s="26">
        <v>40</v>
      </c>
      <c r="E105" s="26">
        <v>42</v>
      </c>
      <c r="F105" s="26">
        <v>40</v>
      </c>
      <c r="G105" s="26"/>
      <c r="H105" s="48">
        <f t="shared" si="13"/>
        <v>0</v>
      </c>
      <c r="I105" s="3"/>
    </row>
    <row r="106" spans="1:10" ht="20.25" customHeight="1">
      <c r="A106" s="1"/>
      <c r="B106" s="17" t="s">
        <v>135</v>
      </c>
      <c r="C106" s="1" t="s">
        <v>40</v>
      </c>
      <c r="D106" s="26">
        <v>35</v>
      </c>
      <c r="E106" s="26">
        <v>30</v>
      </c>
      <c r="F106" s="26">
        <v>40</v>
      </c>
      <c r="G106" s="26"/>
      <c r="H106" s="48">
        <f t="shared" si="13"/>
        <v>0</v>
      </c>
      <c r="I106" s="3"/>
    </row>
    <row r="107" spans="1:10" ht="20.25" customHeight="1">
      <c r="A107" s="1"/>
      <c r="B107" s="17" t="s">
        <v>130</v>
      </c>
      <c r="C107" s="1" t="s">
        <v>47</v>
      </c>
      <c r="D107" s="26">
        <v>57219</v>
      </c>
      <c r="E107" s="26">
        <v>60000</v>
      </c>
      <c r="F107" s="26">
        <v>55000</v>
      </c>
      <c r="G107" s="26"/>
      <c r="H107" s="48">
        <f t="shared" si="13"/>
        <v>0</v>
      </c>
      <c r="I107" s="3"/>
    </row>
    <row r="108" spans="1:10" ht="20.25" customHeight="1">
      <c r="A108" s="1"/>
      <c r="B108" s="17" t="s">
        <v>131</v>
      </c>
      <c r="C108" s="1" t="s">
        <v>47</v>
      </c>
      <c r="D108" s="26">
        <v>12363</v>
      </c>
      <c r="E108" s="26">
        <v>13000</v>
      </c>
      <c r="F108" s="26">
        <v>12000</v>
      </c>
      <c r="G108" s="26"/>
      <c r="H108" s="48">
        <f t="shared" si="13"/>
        <v>0</v>
      </c>
      <c r="I108" s="3"/>
    </row>
    <row r="109" spans="1:10" ht="20.25" customHeight="1">
      <c r="A109" s="1"/>
      <c r="B109" s="17" t="s">
        <v>132</v>
      </c>
      <c r="C109" s="1" t="s">
        <v>217</v>
      </c>
      <c r="D109" s="26">
        <v>39713</v>
      </c>
      <c r="E109" s="26">
        <v>41000</v>
      </c>
      <c r="F109" s="26">
        <v>60000</v>
      </c>
      <c r="G109" s="26"/>
      <c r="H109" s="48">
        <f t="shared" si="13"/>
        <v>0</v>
      </c>
      <c r="I109" s="3"/>
    </row>
    <row r="110" spans="1:10" ht="20.25" customHeight="1">
      <c r="A110" s="1"/>
      <c r="B110" s="17" t="s">
        <v>133</v>
      </c>
      <c r="C110" s="1" t="s">
        <v>217</v>
      </c>
      <c r="D110" s="26">
        <v>34500</v>
      </c>
      <c r="E110" s="26">
        <v>35000</v>
      </c>
      <c r="F110" s="26">
        <v>54000</v>
      </c>
      <c r="G110" s="26"/>
      <c r="H110" s="48">
        <f t="shared" si="13"/>
        <v>0</v>
      </c>
      <c r="I110" s="3"/>
    </row>
    <row r="111" spans="1:10" s="15" customFormat="1">
      <c r="A111" s="90" t="s">
        <v>79</v>
      </c>
      <c r="B111" s="95" t="s">
        <v>201</v>
      </c>
      <c r="C111" s="90"/>
      <c r="D111" s="109"/>
      <c r="E111" s="109"/>
      <c r="F111" s="109"/>
      <c r="G111" s="109"/>
      <c r="H111" s="94" t="str">
        <f t="shared" si="13"/>
        <v/>
      </c>
      <c r="I111" s="94"/>
    </row>
    <row r="112" spans="1:10" ht="22.5" customHeight="1">
      <c r="A112" s="1">
        <v>1</v>
      </c>
      <c r="B112" s="17" t="s">
        <v>81</v>
      </c>
      <c r="C112" s="1" t="s">
        <v>126</v>
      </c>
      <c r="D112" s="26">
        <v>560310</v>
      </c>
      <c r="E112" s="26">
        <v>595000</v>
      </c>
      <c r="F112" s="26">
        <v>696000</v>
      </c>
      <c r="G112" s="26"/>
      <c r="H112" s="48">
        <f t="shared" si="13"/>
        <v>0</v>
      </c>
      <c r="I112" s="3"/>
    </row>
    <row r="113" spans="1:11">
      <c r="A113" s="84"/>
      <c r="B113" s="105" t="s">
        <v>205</v>
      </c>
      <c r="C113" s="84"/>
      <c r="D113" s="86"/>
      <c r="E113" s="86"/>
      <c r="F113" s="86"/>
      <c r="G113" s="86"/>
      <c r="H113" s="106" t="str">
        <f t="shared" si="13"/>
        <v/>
      </c>
      <c r="I113" s="3"/>
    </row>
    <row r="114" spans="1:11" s="15" customFormat="1" ht="22.5" customHeight="1">
      <c r="A114" s="90" t="s">
        <v>21</v>
      </c>
      <c r="B114" s="95" t="s">
        <v>147</v>
      </c>
      <c r="C114" s="90"/>
      <c r="D114" s="108"/>
      <c r="E114" s="108"/>
      <c r="F114" s="108"/>
      <c r="G114" s="108"/>
      <c r="H114" s="94" t="str">
        <f t="shared" si="13"/>
        <v/>
      </c>
      <c r="I114" s="112"/>
    </row>
    <row r="115" spans="1:11" ht="22.5" hidden="1" customHeight="1" outlineLevel="1">
      <c r="A115" s="1">
        <v>1</v>
      </c>
      <c r="B115" s="17" t="s">
        <v>148</v>
      </c>
      <c r="C115" s="1" t="s">
        <v>38</v>
      </c>
      <c r="D115" s="26">
        <v>10520</v>
      </c>
      <c r="E115" s="26">
        <f>D116</f>
        <v>10685</v>
      </c>
      <c r="F115" s="26">
        <f>E116</f>
        <v>11120</v>
      </c>
      <c r="G115" s="26">
        <f>E116</f>
        <v>11120</v>
      </c>
      <c r="H115" s="48">
        <f t="shared" si="13"/>
        <v>100</v>
      </c>
      <c r="I115" s="3"/>
      <c r="K115" s="63"/>
    </row>
    <row r="116" spans="1:11" ht="22.5" hidden="1" customHeight="1" outlineLevel="1">
      <c r="A116" s="1">
        <v>2</v>
      </c>
      <c r="B116" s="17" t="s">
        <v>101</v>
      </c>
      <c r="C116" s="1" t="s">
        <v>38</v>
      </c>
      <c r="D116" s="26">
        <v>10685</v>
      </c>
      <c r="E116" s="26">
        <v>11120</v>
      </c>
      <c r="F116" s="26">
        <v>11380</v>
      </c>
      <c r="G116" s="26"/>
      <c r="H116" s="53">
        <f t="shared" si="13"/>
        <v>0</v>
      </c>
      <c r="I116" s="3"/>
      <c r="J116" s="63"/>
    </row>
    <row r="117" spans="1:11" ht="22.5" customHeight="1" collapsed="1">
      <c r="A117" s="1">
        <v>1</v>
      </c>
      <c r="B117" s="17" t="s">
        <v>58</v>
      </c>
      <c r="C117" s="1" t="s">
        <v>45</v>
      </c>
      <c r="D117" s="26">
        <v>44006</v>
      </c>
      <c r="E117" s="26">
        <f>D118</f>
        <v>45290</v>
      </c>
      <c r="F117" s="26">
        <f>E118</f>
        <v>46404</v>
      </c>
      <c r="G117" s="26"/>
      <c r="H117" s="48">
        <f t="shared" si="13"/>
        <v>0</v>
      </c>
      <c r="I117" s="3"/>
    </row>
    <row r="118" spans="1:11" ht="22.5" customHeight="1">
      <c r="A118" s="1">
        <v>2</v>
      </c>
      <c r="B118" s="17" t="s">
        <v>59</v>
      </c>
      <c r="C118" s="1" t="s">
        <v>45</v>
      </c>
      <c r="D118" s="26">
        <v>45290</v>
      </c>
      <c r="E118" s="26">
        <v>46404</v>
      </c>
      <c r="F118" s="26">
        <v>47500</v>
      </c>
      <c r="G118" s="26"/>
      <c r="H118" s="48">
        <f t="shared" si="13"/>
        <v>0</v>
      </c>
      <c r="I118" s="3"/>
    </row>
    <row r="119" spans="1:11" ht="22.5" customHeight="1">
      <c r="A119" s="1">
        <v>3</v>
      </c>
      <c r="B119" s="17" t="s">
        <v>134</v>
      </c>
      <c r="C119" s="1" t="s">
        <v>45</v>
      </c>
      <c r="D119" s="26">
        <f t="shared" ref="D119:G119" si="17">(D117+D118)/2</f>
        <v>44648</v>
      </c>
      <c r="E119" s="26">
        <f t="shared" si="17"/>
        <v>45847</v>
      </c>
      <c r="F119" s="26">
        <f t="shared" si="17"/>
        <v>46952</v>
      </c>
      <c r="G119" s="26">
        <f t="shared" si="17"/>
        <v>0</v>
      </c>
      <c r="H119" s="48">
        <f t="shared" si="13"/>
        <v>0</v>
      </c>
      <c r="I119" s="3"/>
    </row>
    <row r="120" spans="1:11" ht="22.5" customHeight="1">
      <c r="A120" s="1">
        <v>4</v>
      </c>
      <c r="B120" s="38" t="s">
        <v>160</v>
      </c>
      <c r="C120" s="18" t="s">
        <v>70</v>
      </c>
      <c r="D120" s="61">
        <v>22.62</v>
      </c>
      <c r="E120" s="61">
        <v>22.92</v>
      </c>
      <c r="F120" s="61">
        <v>22</v>
      </c>
      <c r="G120" s="61"/>
      <c r="H120" s="53">
        <f t="shared" si="13"/>
        <v>0</v>
      </c>
      <c r="I120" s="3"/>
    </row>
    <row r="121" spans="1:11" s="15" customFormat="1" ht="21" customHeight="1">
      <c r="A121" s="90" t="s">
        <v>22</v>
      </c>
      <c r="B121" s="95" t="s">
        <v>66</v>
      </c>
      <c r="C121" s="90"/>
      <c r="D121" s="113"/>
      <c r="E121" s="113"/>
      <c r="F121" s="113"/>
      <c r="G121" s="113"/>
      <c r="H121" s="94" t="str">
        <f t="shared" si="13"/>
        <v/>
      </c>
      <c r="I121" s="112"/>
    </row>
    <row r="122" spans="1:11" ht="21" customHeight="1">
      <c r="A122" s="1">
        <v>1</v>
      </c>
      <c r="B122" s="17" t="s">
        <v>161</v>
      </c>
      <c r="C122" s="1" t="s">
        <v>16</v>
      </c>
      <c r="D122" s="48">
        <v>42.86</v>
      </c>
      <c r="E122" s="48">
        <v>43</v>
      </c>
      <c r="F122" s="48">
        <v>44</v>
      </c>
      <c r="G122" s="48"/>
      <c r="H122" s="53">
        <f t="shared" si="13"/>
        <v>0</v>
      </c>
      <c r="I122" s="3"/>
    </row>
    <row r="123" spans="1:11" ht="21" customHeight="1">
      <c r="A123" s="1"/>
      <c r="B123" s="17" t="s">
        <v>162</v>
      </c>
      <c r="C123" s="1" t="s">
        <v>16</v>
      </c>
      <c r="D123" s="48">
        <v>32</v>
      </c>
      <c r="E123" s="48">
        <v>35</v>
      </c>
      <c r="F123" s="48">
        <v>36</v>
      </c>
      <c r="G123" s="48"/>
      <c r="H123" s="53">
        <f t="shared" si="13"/>
        <v>0</v>
      </c>
      <c r="I123" s="3"/>
    </row>
    <row r="124" spans="1:11" ht="46.8">
      <c r="A124" s="1">
        <v>2</v>
      </c>
      <c r="B124" s="17" t="s">
        <v>152</v>
      </c>
      <c r="C124" s="1" t="s">
        <v>51</v>
      </c>
      <c r="D124" s="49">
        <f>174+50</f>
        <v>224</v>
      </c>
      <c r="E124" s="49">
        <v>175</v>
      </c>
      <c r="F124" s="49">
        <v>250</v>
      </c>
      <c r="G124" s="49"/>
      <c r="H124" s="53">
        <f t="shared" si="13"/>
        <v>0</v>
      </c>
      <c r="I124" s="3"/>
    </row>
    <row r="125" spans="1:11">
      <c r="A125" s="1"/>
      <c r="B125" s="17" t="s">
        <v>164</v>
      </c>
      <c r="C125" s="1" t="s">
        <v>165</v>
      </c>
      <c r="D125" s="17">
        <v>111</v>
      </c>
      <c r="E125" s="17">
        <v>115</v>
      </c>
      <c r="F125" s="17">
        <v>120</v>
      </c>
      <c r="G125" s="17"/>
      <c r="H125" s="53">
        <f t="shared" si="13"/>
        <v>0</v>
      </c>
      <c r="I125" s="3"/>
    </row>
    <row r="126" spans="1:11" ht="21" customHeight="1">
      <c r="A126" s="90" t="s">
        <v>25</v>
      </c>
      <c r="B126" s="95" t="s">
        <v>108</v>
      </c>
      <c r="C126" s="114"/>
      <c r="D126" s="115"/>
      <c r="E126" s="115"/>
      <c r="F126" s="115"/>
      <c r="G126" s="115"/>
      <c r="H126" s="94" t="str">
        <f t="shared" si="13"/>
        <v/>
      </c>
      <c r="I126" s="116"/>
    </row>
    <row r="127" spans="1:11" ht="29.25" customHeight="1">
      <c r="A127" s="50">
        <v>1</v>
      </c>
      <c r="B127" s="51" t="s">
        <v>150</v>
      </c>
      <c r="C127" s="1" t="s">
        <v>16</v>
      </c>
      <c r="D127" s="54" t="s">
        <v>153</v>
      </c>
      <c r="E127" s="74">
        <f>D128-E128</f>
        <v>3.1799999999999997</v>
      </c>
      <c r="F127" s="54" t="s">
        <v>156</v>
      </c>
      <c r="G127" s="54"/>
      <c r="H127" s="53" t="str">
        <f t="shared" si="13"/>
        <v/>
      </c>
      <c r="I127" s="3"/>
    </row>
    <row r="128" spans="1:11" ht="21" customHeight="1">
      <c r="A128" s="50">
        <v>2</v>
      </c>
      <c r="B128" s="51" t="s">
        <v>163</v>
      </c>
      <c r="C128" s="1" t="s">
        <v>16</v>
      </c>
      <c r="D128" s="66">
        <v>17.32</v>
      </c>
      <c r="E128" s="66">
        <v>14.14</v>
      </c>
      <c r="F128" s="66">
        <f>E128-3</f>
        <v>11.14</v>
      </c>
      <c r="G128" s="66"/>
      <c r="H128" s="48">
        <f t="shared" si="13"/>
        <v>0</v>
      </c>
      <c r="I128" s="3"/>
      <c r="J128" s="75"/>
    </row>
    <row r="129" spans="1:10" s="15" customFormat="1" ht="20.25" customHeight="1">
      <c r="A129" s="90" t="s">
        <v>26</v>
      </c>
      <c r="B129" s="95" t="s">
        <v>0</v>
      </c>
      <c r="C129" s="90"/>
      <c r="D129" s="108"/>
      <c r="E129" s="108"/>
      <c r="F129" s="108"/>
      <c r="G129" s="108"/>
      <c r="H129" s="94" t="str">
        <f t="shared" si="13"/>
        <v/>
      </c>
      <c r="I129" s="112"/>
    </row>
    <row r="130" spans="1:10" ht="23.25" customHeight="1">
      <c r="A130" s="1">
        <v>1</v>
      </c>
      <c r="B130" s="17" t="s">
        <v>257</v>
      </c>
      <c r="C130" s="1" t="s">
        <v>1</v>
      </c>
      <c r="D130" s="26">
        <f>SUM(D131:D137)</f>
        <v>13999</v>
      </c>
      <c r="E130" s="26">
        <f>SUM(E131:E137)</f>
        <v>14102</v>
      </c>
      <c r="F130" s="26">
        <f>F131+F135+F136+F137</f>
        <v>14530</v>
      </c>
      <c r="G130" s="26">
        <f>G131+G135+G136+G137</f>
        <v>14407</v>
      </c>
      <c r="H130" s="48">
        <f t="shared" si="13"/>
        <v>99.153475567790764</v>
      </c>
      <c r="I130" s="3"/>
    </row>
    <row r="131" spans="1:10" ht="21" customHeight="1">
      <c r="A131" s="1"/>
      <c r="B131" s="17" t="s">
        <v>83</v>
      </c>
      <c r="C131" s="1" t="s">
        <v>1</v>
      </c>
      <c r="D131" s="76">
        <v>4325</v>
      </c>
      <c r="E131" s="76">
        <v>4401</v>
      </c>
      <c r="F131" s="76">
        <f>F132+F134</f>
        <v>4430</v>
      </c>
      <c r="G131" s="76">
        <f>G132+G134</f>
        <v>4527</v>
      </c>
      <c r="H131" s="48">
        <f t="shared" si="13"/>
        <v>102.18961625282168</v>
      </c>
      <c r="I131" s="3"/>
      <c r="J131" s="67"/>
    </row>
    <row r="132" spans="1:10" s="34" customFormat="1" ht="21" customHeight="1" outlineLevel="1">
      <c r="A132" s="31"/>
      <c r="B132" s="27" t="s">
        <v>167</v>
      </c>
      <c r="C132" s="1" t="s">
        <v>2</v>
      </c>
      <c r="D132" s="77"/>
      <c r="E132" s="77"/>
      <c r="F132" s="77">
        <v>450</v>
      </c>
      <c r="G132" s="77">
        <v>398</v>
      </c>
      <c r="H132" s="48">
        <f t="shared" si="13"/>
        <v>88.444444444444443</v>
      </c>
      <c r="I132" s="70"/>
      <c r="J132" s="68"/>
    </row>
    <row r="133" spans="1:10" s="34" customFormat="1" ht="21" customHeight="1" outlineLevel="1">
      <c r="A133" s="31"/>
      <c r="B133" s="27" t="s">
        <v>187</v>
      </c>
      <c r="C133" s="1" t="s">
        <v>2</v>
      </c>
      <c r="D133" s="77"/>
      <c r="E133" s="77"/>
      <c r="F133" s="77">
        <v>350</v>
      </c>
      <c r="G133" s="77"/>
      <c r="H133" s="48">
        <f t="shared" si="13"/>
        <v>0</v>
      </c>
      <c r="I133" s="70"/>
      <c r="J133" s="68"/>
    </row>
    <row r="134" spans="1:10" s="34" customFormat="1" ht="21" customHeight="1" outlineLevel="1">
      <c r="A134" s="31"/>
      <c r="B134" s="27" t="s">
        <v>85</v>
      </c>
      <c r="C134" s="1" t="s">
        <v>2</v>
      </c>
      <c r="D134" s="77"/>
      <c r="E134" s="77"/>
      <c r="F134" s="77">
        <v>3980</v>
      </c>
      <c r="G134" s="77">
        <v>4129</v>
      </c>
      <c r="H134" s="48">
        <f t="shared" si="13"/>
        <v>103.74371859296483</v>
      </c>
      <c r="I134" s="70"/>
      <c r="J134" s="68"/>
    </row>
    <row r="135" spans="1:10" ht="21" customHeight="1">
      <c r="A135" s="1"/>
      <c r="B135" s="17" t="s">
        <v>104</v>
      </c>
      <c r="C135" s="1" t="s">
        <v>1</v>
      </c>
      <c r="D135" s="76">
        <v>5412</v>
      </c>
      <c r="E135" s="76">
        <v>5400</v>
      </c>
      <c r="F135" s="76">
        <v>5700</v>
      </c>
      <c r="G135" s="76">
        <v>5515</v>
      </c>
      <c r="H135" s="48">
        <f t="shared" si="13"/>
        <v>96.754385964912274</v>
      </c>
      <c r="I135" s="3"/>
      <c r="J135" s="67"/>
    </row>
    <row r="136" spans="1:10" ht="21" customHeight="1">
      <c r="A136" s="1"/>
      <c r="B136" s="17" t="s">
        <v>105</v>
      </c>
      <c r="C136" s="1" t="s">
        <v>1</v>
      </c>
      <c r="D136" s="76">
        <v>3521</v>
      </c>
      <c r="E136" s="76">
        <v>3560</v>
      </c>
      <c r="F136" s="76">
        <v>3570</v>
      </c>
      <c r="G136" s="76">
        <v>3558</v>
      </c>
      <c r="H136" s="48">
        <f t="shared" si="13"/>
        <v>99.663865546218474</v>
      </c>
      <c r="I136" s="3"/>
    </row>
    <row r="137" spans="1:10" ht="21" customHeight="1">
      <c r="A137" s="1"/>
      <c r="B137" s="17" t="s">
        <v>137</v>
      </c>
      <c r="C137" s="1" t="s">
        <v>1</v>
      </c>
      <c r="D137" s="76">
        <v>741</v>
      </c>
      <c r="E137" s="76">
        <v>741</v>
      </c>
      <c r="F137" s="76">
        <v>830</v>
      </c>
      <c r="G137" s="76">
        <v>807</v>
      </c>
      <c r="H137" s="48">
        <f t="shared" si="13"/>
        <v>97.228915662650593</v>
      </c>
      <c r="I137" s="3"/>
    </row>
    <row r="138" spans="1:10" s="88" customFormat="1" ht="22.5" hidden="1" customHeight="1" outlineLevel="1">
      <c r="A138" s="84"/>
      <c r="B138" s="85" t="s">
        <v>166</v>
      </c>
      <c r="C138" s="84"/>
      <c r="D138" s="86">
        <f t="shared" ref="D138:G138" si="18">SUM(D140:D144)</f>
        <v>37</v>
      </c>
      <c r="E138" s="86">
        <f t="shared" si="18"/>
        <v>38</v>
      </c>
      <c r="F138" s="86">
        <f t="shared" si="18"/>
        <v>38</v>
      </c>
      <c r="G138" s="86">
        <f t="shared" si="18"/>
        <v>38</v>
      </c>
      <c r="H138" s="87">
        <f t="shared" si="13"/>
        <v>100</v>
      </c>
      <c r="I138" s="111"/>
    </row>
    <row r="139" spans="1:10" s="88" customFormat="1" ht="22.5" hidden="1" customHeight="1" outlineLevel="1">
      <c r="A139" s="84"/>
      <c r="B139" s="89" t="s">
        <v>136</v>
      </c>
      <c r="C139" s="84"/>
      <c r="D139" s="86"/>
      <c r="E139" s="86"/>
      <c r="F139" s="86"/>
      <c r="G139" s="86"/>
      <c r="H139" s="87" t="str">
        <f t="shared" ref="H139:H182" si="19">IFERROR(G139/F139%,"")</f>
        <v/>
      </c>
      <c r="I139" s="111"/>
    </row>
    <row r="140" spans="1:10" s="88" customFormat="1" ht="22.5" hidden="1" customHeight="1" outlineLevel="1">
      <c r="A140" s="84"/>
      <c r="B140" s="85" t="s">
        <v>138</v>
      </c>
      <c r="C140" s="84" t="s">
        <v>62</v>
      </c>
      <c r="D140" s="86">
        <v>13</v>
      </c>
      <c r="E140" s="86">
        <v>13</v>
      </c>
      <c r="F140" s="86">
        <f>E140</f>
        <v>13</v>
      </c>
      <c r="G140" s="86">
        <f>E140</f>
        <v>13</v>
      </c>
      <c r="H140" s="87">
        <f t="shared" si="19"/>
        <v>100</v>
      </c>
      <c r="I140" s="111"/>
    </row>
    <row r="141" spans="1:10" s="88" customFormat="1" ht="22.5" hidden="1" customHeight="1" outlineLevel="1">
      <c r="A141" s="84"/>
      <c r="B141" s="85" t="s">
        <v>139</v>
      </c>
      <c r="C141" s="84" t="s">
        <v>62</v>
      </c>
      <c r="D141" s="86">
        <v>13</v>
      </c>
      <c r="E141" s="86">
        <v>14</v>
      </c>
      <c r="F141" s="86">
        <f>E141</f>
        <v>14</v>
      </c>
      <c r="G141" s="86">
        <f>E141</f>
        <v>14</v>
      </c>
      <c r="H141" s="87">
        <f t="shared" si="19"/>
        <v>99.999999999999986</v>
      </c>
      <c r="I141" s="111"/>
    </row>
    <row r="142" spans="1:10" s="88" customFormat="1" ht="22.5" hidden="1" customHeight="1" outlineLevel="1">
      <c r="A142" s="84"/>
      <c r="B142" s="85" t="s">
        <v>140</v>
      </c>
      <c r="C142" s="84" t="s">
        <v>62</v>
      </c>
      <c r="D142" s="86">
        <v>9</v>
      </c>
      <c r="E142" s="86">
        <v>9</v>
      </c>
      <c r="F142" s="86">
        <f>E142</f>
        <v>9</v>
      </c>
      <c r="G142" s="86">
        <f>E142</f>
        <v>9</v>
      </c>
      <c r="H142" s="87">
        <f t="shared" si="19"/>
        <v>100</v>
      </c>
      <c r="I142" s="111"/>
    </row>
    <row r="143" spans="1:10" s="88" customFormat="1" ht="22.5" hidden="1" customHeight="1" outlineLevel="1">
      <c r="A143" s="84"/>
      <c r="B143" s="85" t="s">
        <v>141</v>
      </c>
      <c r="C143" s="84" t="s">
        <v>62</v>
      </c>
      <c r="D143" s="86">
        <v>1</v>
      </c>
      <c r="E143" s="86">
        <v>1</v>
      </c>
      <c r="F143" s="86">
        <f>E143</f>
        <v>1</v>
      </c>
      <c r="G143" s="86">
        <f>E143</f>
        <v>1</v>
      </c>
      <c r="H143" s="87">
        <f t="shared" si="19"/>
        <v>100</v>
      </c>
      <c r="I143" s="111"/>
    </row>
    <row r="144" spans="1:10" s="88" customFormat="1" ht="22.5" hidden="1" customHeight="1" outlineLevel="1">
      <c r="A144" s="84"/>
      <c r="B144" s="85" t="s">
        <v>142</v>
      </c>
      <c r="C144" s="84" t="s">
        <v>62</v>
      </c>
      <c r="D144" s="86">
        <v>1</v>
      </c>
      <c r="E144" s="86">
        <v>1</v>
      </c>
      <c r="F144" s="86">
        <f>E144</f>
        <v>1</v>
      </c>
      <c r="G144" s="86">
        <f>E144</f>
        <v>1</v>
      </c>
      <c r="H144" s="87">
        <f t="shared" si="19"/>
        <v>100</v>
      </c>
      <c r="I144" s="111"/>
    </row>
    <row r="145" spans="1:9" s="88" customFormat="1" ht="22.5" hidden="1" customHeight="1" outlineLevel="1">
      <c r="A145" s="84"/>
      <c r="B145" s="85" t="s">
        <v>143</v>
      </c>
      <c r="C145" s="84" t="s">
        <v>62</v>
      </c>
      <c r="D145" s="86">
        <f t="shared" ref="D145:G145" si="20">SUM(D147:D151)</f>
        <v>20</v>
      </c>
      <c r="E145" s="86">
        <f t="shared" si="20"/>
        <v>22</v>
      </c>
      <c r="F145" s="86">
        <f t="shared" si="20"/>
        <v>25</v>
      </c>
      <c r="G145" s="86">
        <f t="shared" si="20"/>
        <v>22</v>
      </c>
      <c r="H145" s="87">
        <f t="shared" si="19"/>
        <v>88</v>
      </c>
      <c r="I145" s="111"/>
    </row>
    <row r="146" spans="1:9" s="88" customFormat="1" ht="22.5" hidden="1" customHeight="1" outlineLevel="1">
      <c r="A146" s="84"/>
      <c r="B146" s="89" t="s">
        <v>136</v>
      </c>
      <c r="C146" s="84"/>
      <c r="D146" s="86"/>
      <c r="E146" s="86"/>
      <c r="F146" s="86"/>
      <c r="G146" s="86"/>
      <c r="H146" s="87" t="str">
        <f t="shared" si="19"/>
        <v/>
      </c>
      <c r="I146" s="111"/>
    </row>
    <row r="147" spans="1:9" s="88" customFormat="1" ht="22.5" hidden="1" customHeight="1" outlineLevel="1">
      <c r="A147" s="84"/>
      <c r="B147" s="85" t="s">
        <v>138</v>
      </c>
      <c r="C147" s="84" t="s">
        <v>62</v>
      </c>
      <c r="D147" s="86">
        <v>5</v>
      </c>
      <c r="E147" s="86">
        <v>7</v>
      </c>
      <c r="F147" s="86">
        <v>8</v>
      </c>
      <c r="G147" s="86">
        <f>E147</f>
        <v>7</v>
      </c>
      <c r="H147" s="87">
        <f t="shared" si="19"/>
        <v>87.5</v>
      </c>
      <c r="I147" s="111"/>
    </row>
    <row r="148" spans="1:9" s="88" customFormat="1" ht="22.5" hidden="1" customHeight="1" outlineLevel="1">
      <c r="A148" s="84"/>
      <c r="B148" s="85" t="s">
        <v>139</v>
      </c>
      <c r="C148" s="84" t="s">
        <v>62</v>
      </c>
      <c r="D148" s="86">
        <v>9</v>
      </c>
      <c r="E148" s="86">
        <v>9</v>
      </c>
      <c r="F148" s="86">
        <v>10</v>
      </c>
      <c r="G148" s="86">
        <f>E148</f>
        <v>9</v>
      </c>
      <c r="H148" s="87">
        <f t="shared" si="19"/>
        <v>90</v>
      </c>
      <c r="I148" s="111"/>
    </row>
    <row r="149" spans="1:9" s="88" customFormat="1" ht="22.5" hidden="1" customHeight="1" outlineLevel="1">
      <c r="A149" s="84"/>
      <c r="B149" s="85" t="s">
        <v>140</v>
      </c>
      <c r="C149" s="84" t="s">
        <v>62</v>
      </c>
      <c r="D149" s="86">
        <v>4</v>
      </c>
      <c r="E149" s="86">
        <v>4</v>
      </c>
      <c r="F149" s="86">
        <v>5</v>
      </c>
      <c r="G149" s="86">
        <f>E149</f>
        <v>4</v>
      </c>
      <c r="H149" s="87">
        <f t="shared" si="19"/>
        <v>80</v>
      </c>
      <c r="I149" s="111"/>
    </row>
    <row r="150" spans="1:9" s="88" customFormat="1" ht="22.5" hidden="1" customHeight="1" outlineLevel="1">
      <c r="A150" s="84"/>
      <c r="B150" s="85" t="s">
        <v>141</v>
      </c>
      <c r="C150" s="84" t="s">
        <v>62</v>
      </c>
      <c r="D150" s="86">
        <v>1</v>
      </c>
      <c r="E150" s="86">
        <v>1</v>
      </c>
      <c r="F150" s="86">
        <v>1</v>
      </c>
      <c r="G150" s="86">
        <f>E150</f>
        <v>1</v>
      </c>
      <c r="H150" s="87">
        <f t="shared" si="19"/>
        <v>100</v>
      </c>
      <c r="I150" s="111"/>
    </row>
    <row r="151" spans="1:9" s="88" customFormat="1" ht="22.5" hidden="1" customHeight="1" outlineLevel="1">
      <c r="A151" s="84"/>
      <c r="B151" s="85" t="s">
        <v>142</v>
      </c>
      <c r="C151" s="84" t="s">
        <v>62</v>
      </c>
      <c r="D151" s="86">
        <v>1</v>
      </c>
      <c r="E151" s="86">
        <v>1</v>
      </c>
      <c r="F151" s="86">
        <v>1</v>
      </c>
      <c r="G151" s="86">
        <f>E151</f>
        <v>1</v>
      </c>
      <c r="H151" s="87">
        <f t="shared" si="19"/>
        <v>100</v>
      </c>
      <c r="I151" s="111"/>
    </row>
    <row r="152" spans="1:9" ht="22.5" customHeight="1" collapsed="1">
      <c r="A152" s="1">
        <v>2</v>
      </c>
      <c r="B152" s="17" t="s">
        <v>63</v>
      </c>
      <c r="C152" s="1" t="s">
        <v>16</v>
      </c>
      <c r="D152" s="61">
        <f t="shared" ref="D152:G152" si="21">D145/D138%</f>
        <v>54.054054054054056</v>
      </c>
      <c r="E152" s="61">
        <f t="shared" si="21"/>
        <v>57.89473684210526</v>
      </c>
      <c r="F152" s="61">
        <f t="shared" si="21"/>
        <v>65.78947368421052</v>
      </c>
      <c r="G152" s="61">
        <f t="shared" si="21"/>
        <v>57.89473684210526</v>
      </c>
      <c r="H152" s="48">
        <f t="shared" si="19"/>
        <v>88</v>
      </c>
      <c r="I152" s="3"/>
    </row>
    <row r="153" spans="1:9" ht="22.5" hidden="1" customHeight="1" outlineLevel="1">
      <c r="A153" s="1"/>
      <c r="B153" s="27" t="s">
        <v>136</v>
      </c>
      <c r="C153" s="1"/>
      <c r="D153" s="45"/>
      <c r="E153" s="45"/>
      <c r="F153" s="45"/>
      <c r="G153" s="45"/>
      <c r="H153" s="53" t="str">
        <f t="shared" si="19"/>
        <v/>
      </c>
      <c r="I153" s="3"/>
    </row>
    <row r="154" spans="1:9" ht="22.5" hidden="1" customHeight="1" outlineLevel="1">
      <c r="A154" s="1"/>
      <c r="B154" s="17" t="s">
        <v>138</v>
      </c>
      <c r="C154" s="1" t="s">
        <v>16</v>
      </c>
      <c r="D154" s="45">
        <f t="shared" ref="D154:G158" si="22">D147/D140%</f>
        <v>38.46153846153846</v>
      </c>
      <c r="E154" s="45">
        <f t="shared" si="22"/>
        <v>53.846153846153847</v>
      </c>
      <c r="F154" s="45">
        <f t="shared" si="22"/>
        <v>61.538461538461533</v>
      </c>
      <c r="G154" s="45">
        <f t="shared" si="22"/>
        <v>53.846153846153847</v>
      </c>
      <c r="H154" s="48">
        <f t="shared" si="19"/>
        <v>87.500000000000014</v>
      </c>
      <c r="I154" s="3"/>
    </row>
    <row r="155" spans="1:9" ht="22.5" hidden="1" customHeight="1" outlineLevel="1">
      <c r="A155" s="1"/>
      <c r="B155" s="17" t="s">
        <v>139</v>
      </c>
      <c r="C155" s="1" t="s">
        <v>16</v>
      </c>
      <c r="D155" s="45">
        <f t="shared" si="22"/>
        <v>69.230769230769226</v>
      </c>
      <c r="E155" s="45">
        <f t="shared" si="22"/>
        <v>64.285714285714278</v>
      </c>
      <c r="F155" s="45">
        <f t="shared" si="22"/>
        <v>71.428571428571416</v>
      </c>
      <c r="G155" s="45">
        <f t="shared" si="22"/>
        <v>64.285714285714278</v>
      </c>
      <c r="H155" s="48">
        <f t="shared" si="19"/>
        <v>90</v>
      </c>
      <c r="I155" s="3"/>
    </row>
    <row r="156" spans="1:9" ht="22.5" hidden="1" customHeight="1" outlineLevel="1">
      <c r="A156" s="1"/>
      <c r="B156" s="17" t="s">
        <v>140</v>
      </c>
      <c r="C156" s="1" t="s">
        <v>16</v>
      </c>
      <c r="D156" s="45">
        <f t="shared" si="22"/>
        <v>44.444444444444443</v>
      </c>
      <c r="E156" s="45">
        <f t="shared" si="22"/>
        <v>44.444444444444443</v>
      </c>
      <c r="F156" s="45">
        <f t="shared" si="22"/>
        <v>55.555555555555557</v>
      </c>
      <c r="G156" s="45">
        <f t="shared" si="22"/>
        <v>44.444444444444443</v>
      </c>
      <c r="H156" s="48">
        <f t="shared" si="19"/>
        <v>80</v>
      </c>
      <c r="I156" s="3"/>
    </row>
    <row r="157" spans="1:9" ht="22.5" hidden="1" customHeight="1" outlineLevel="1">
      <c r="A157" s="1"/>
      <c r="B157" s="17" t="s">
        <v>141</v>
      </c>
      <c r="C157" s="1" t="s">
        <v>16</v>
      </c>
      <c r="D157" s="45">
        <f t="shared" si="22"/>
        <v>100</v>
      </c>
      <c r="E157" s="45">
        <f t="shared" si="22"/>
        <v>100</v>
      </c>
      <c r="F157" s="45">
        <f t="shared" si="22"/>
        <v>100</v>
      </c>
      <c r="G157" s="45">
        <f t="shared" si="22"/>
        <v>100</v>
      </c>
      <c r="H157" s="48">
        <f t="shared" si="19"/>
        <v>100</v>
      </c>
      <c r="I157" s="3"/>
    </row>
    <row r="158" spans="1:9" ht="22.5" hidden="1" customHeight="1" outlineLevel="1">
      <c r="A158" s="1"/>
      <c r="B158" s="17" t="s">
        <v>142</v>
      </c>
      <c r="C158" s="1" t="s">
        <v>16</v>
      </c>
      <c r="D158" s="45">
        <f t="shared" si="22"/>
        <v>100</v>
      </c>
      <c r="E158" s="45">
        <f t="shared" si="22"/>
        <v>100</v>
      </c>
      <c r="F158" s="45">
        <f t="shared" si="22"/>
        <v>100</v>
      </c>
      <c r="G158" s="45">
        <f t="shared" si="22"/>
        <v>100</v>
      </c>
      <c r="H158" s="48">
        <f t="shared" si="19"/>
        <v>100</v>
      </c>
      <c r="I158" s="3"/>
    </row>
    <row r="159" spans="1:9" ht="22.5" hidden="1" customHeight="1" outlineLevel="1" collapsed="1">
      <c r="A159" s="1">
        <v>3</v>
      </c>
      <c r="B159" s="38" t="s">
        <v>158</v>
      </c>
      <c r="C159" s="1"/>
      <c r="D159" s="10"/>
      <c r="E159" s="10"/>
      <c r="F159" s="10"/>
      <c r="G159" s="10"/>
      <c r="H159" s="53" t="str">
        <f t="shared" si="19"/>
        <v/>
      </c>
      <c r="I159" s="3"/>
    </row>
    <row r="160" spans="1:9" ht="22.5" hidden="1" customHeight="1" outlineLevel="1">
      <c r="A160" s="60" t="s">
        <v>17</v>
      </c>
      <c r="B160" s="55" t="s">
        <v>83</v>
      </c>
      <c r="C160" s="1" t="s">
        <v>16</v>
      </c>
      <c r="D160" s="56"/>
      <c r="E160" s="56"/>
      <c r="F160" s="56"/>
      <c r="G160" s="56"/>
      <c r="H160" s="53" t="str">
        <f t="shared" si="19"/>
        <v/>
      </c>
      <c r="I160" s="3"/>
    </row>
    <row r="161" spans="1:9" ht="22.5" hidden="1" customHeight="1" outlineLevel="1">
      <c r="A161" s="60"/>
      <c r="B161" s="57" t="s">
        <v>84</v>
      </c>
      <c r="C161" s="1" t="s">
        <v>16</v>
      </c>
      <c r="D161" s="56">
        <v>11.7</v>
      </c>
      <c r="E161" s="56">
        <v>12.1</v>
      </c>
      <c r="F161" s="56">
        <v>12.5</v>
      </c>
      <c r="G161" s="56"/>
      <c r="H161" s="53">
        <f t="shared" si="19"/>
        <v>0</v>
      </c>
      <c r="I161" s="3"/>
    </row>
    <row r="162" spans="1:9" ht="22.5" hidden="1" customHeight="1" outlineLevel="1">
      <c r="A162" s="60"/>
      <c r="B162" s="57" t="s">
        <v>85</v>
      </c>
      <c r="C162" s="1" t="s">
        <v>16</v>
      </c>
      <c r="D162" s="56">
        <v>97.9</v>
      </c>
      <c r="E162" s="56">
        <v>97.2</v>
      </c>
      <c r="F162" s="56">
        <v>98</v>
      </c>
      <c r="G162" s="56"/>
      <c r="H162" s="53">
        <f t="shared" si="19"/>
        <v>0</v>
      </c>
      <c r="I162" s="3"/>
    </row>
    <row r="163" spans="1:9" ht="22.5" hidden="1" customHeight="1" outlineLevel="1">
      <c r="A163" s="60" t="s">
        <v>18</v>
      </c>
      <c r="B163" s="55" t="s">
        <v>104</v>
      </c>
      <c r="C163" s="1" t="s">
        <v>16</v>
      </c>
      <c r="D163" s="56">
        <v>99.9</v>
      </c>
      <c r="E163" s="56">
        <v>100</v>
      </c>
      <c r="F163" s="56">
        <v>100</v>
      </c>
      <c r="G163" s="56"/>
      <c r="H163" s="53">
        <f t="shared" si="19"/>
        <v>0</v>
      </c>
      <c r="I163" s="3"/>
    </row>
    <row r="164" spans="1:9" ht="22.5" hidden="1" customHeight="1" outlineLevel="1">
      <c r="A164" s="60" t="s">
        <v>19</v>
      </c>
      <c r="B164" s="55" t="s">
        <v>159</v>
      </c>
      <c r="C164" s="1" t="s">
        <v>16</v>
      </c>
      <c r="D164" s="56">
        <v>96.2</v>
      </c>
      <c r="E164" s="56">
        <v>99.8</v>
      </c>
      <c r="F164" s="56">
        <v>100</v>
      </c>
      <c r="G164" s="56"/>
      <c r="H164" s="53">
        <f t="shared" si="19"/>
        <v>0</v>
      </c>
      <c r="I164" s="3"/>
    </row>
    <row r="165" spans="1:9" ht="22.5" customHeight="1" collapsed="1">
      <c r="A165" s="90" t="s">
        <v>28</v>
      </c>
      <c r="B165" s="95" t="s">
        <v>145</v>
      </c>
      <c r="C165" s="114"/>
      <c r="D165" s="117"/>
      <c r="E165" s="117"/>
      <c r="F165" s="117"/>
      <c r="G165" s="117"/>
      <c r="H165" s="94" t="str">
        <f t="shared" si="19"/>
        <v/>
      </c>
      <c r="I165" s="116"/>
    </row>
    <row r="166" spans="1:9" ht="22.5" customHeight="1">
      <c r="A166" s="1">
        <v>1</v>
      </c>
      <c r="B166" s="17" t="s">
        <v>146</v>
      </c>
      <c r="C166" s="1" t="s">
        <v>64</v>
      </c>
      <c r="D166" s="10">
        <v>130</v>
      </c>
      <c r="E166" s="10">
        <v>130</v>
      </c>
      <c r="F166" s="10">
        <v>135</v>
      </c>
      <c r="G166" s="10">
        <v>135</v>
      </c>
      <c r="H166" s="48">
        <f t="shared" si="19"/>
        <v>100</v>
      </c>
      <c r="I166" s="3"/>
    </row>
    <row r="167" spans="1:9" ht="24" customHeight="1">
      <c r="A167" s="1">
        <v>2</v>
      </c>
      <c r="B167" s="17" t="s">
        <v>202</v>
      </c>
      <c r="C167" s="1" t="s">
        <v>144</v>
      </c>
      <c r="D167" s="10">
        <v>2</v>
      </c>
      <c r="E167" s="10">
        <v>6</v>
      </c>
      <c r="F167" s="10">
        <v>7</v>
      </c>
      <c r="G167" s="10">
        <v>4</v>
      </c>
      <c r="H167" s="48">
        <f t="shared" si="19"/>
        <v>57.142857142857139</v>
      </c>
      <c r="I167" s="3"/>
    </row>
    <row r="168" spans="1:9" ht="21" customHeight="1">
      <c r="A168" s="1"/>
      <c r="B168" s="37" t="s">
        <v>203</v>
      </c>
      <c r="C168" s="1" t="s">
        <v>16</v>
      </c>
      <c r="D168" s="45">
        <f t="shared" ref="D168:G168" si="23">D167/9%</f>
        <v>22.222222222222221</v>
      </c>
      <c r="E168" s="45">
        <f t="shared" si="23"/>
        <v>66.666666666666671</v>
      </c>
      <c r="F168" s="45">
        <f t="shared" si="23"/>
        <v>77.777777777777786</v>
      </c>
      <c r="G168" s="45">
        <f t="shared" si="23"/>
        <v>44.444444444444443</v>
      </c>
      <c r="H168" s="48">
        <f t="shared" si="19"/>
        <v>57.142857142857132</v>
      </c>
      <c r="I168" s="3"/>
    </row>
    <row r="169" spans="1:9" ht="21.75" customHeight="1">
      <c r="A169" s="1">
        <v>3</v>
      </c>
      <c r="B169" s="29" t="s">
        <v>82</v>
      </c>
      <c r="C169" s="1" t="s">
        <v>16</v>
      </c>
      <c r="D169" s="45">
        <v>83.5</v>
      </c>
      <c r="E169" s="45">
        <v>87</v>
      </c>
      <c r="F169" s="45">
        <v>90</v>
      </c>
      <c r="G169" s="45"/>
      <c r="H169" s="53">
        <f t="shared" si="19"/>
        <v>0</v>
      </c>
      <c r="I169" s="3"/>
    </row>
    <row r="170" spans="1:9" ht="31.2">
      <c r="A170" s="1">
        <v>4</v>
      </c>
      <c r="B170" s="29" t="s">
        <v>180</v>
      </c>
      <c r="C170" s="1" t="s">
        <v>16</v>
      </c>
      <c r="D170" s="61">
        <v>33.1</v>
      </c>
      <c r="E170" s="45">
        <v>31.8</v>
      </c>
      <c r="F170" s="45">
        <v>31.3</v>
      </c>
      <c r="G170" s="45"/>
      <c r="H170" s="53">
        <f t="shared" si="19"/>
        <v>0</v>
      </c>
      <c r="I170" s="3"/>
    </row>
    <row r="171" spans="1:9" ht="31.2">
      <c r="A171" s="1">
        <v>5</v>
      </c>
      <c r="B171" s="29" t="s">
        <v>181</v>
      </c>
      <c r="C171" s="1" t="s">
        <v>16</v>
      </c>
      <c r="D171" s="61">
        <v>20.6</v>
      </c>
      <c r="E171" s="45">
        <v>20</v>
      </c>
      <c r="F171" s="45">
        <v>19.5</v>
      </c>
      <c r="G171" s="45"/>
      <c r="H171" s="53">
        <f t="shared" si="19"/>
        <v>0</v>
      </c>
      <c r="I171" s="3"/>
    </row>
    <row r="172" spans="1:9" ht="31.2">
      <c r="A172" s="90" t="s">
        <v>29</v>
      </c>
      <c r="B172" s="91" t="s">
        <v>86</v>
      </c>
      <c r="C172" s="92"/>
      <c r="D172" s="117"/>
      <c r="E172" s="117"/>
      <c r="F172" s="117"/>
      <c r="G172" s="117"/>
      <c r="H172" s="94" t="str">
        <f t="shared" si="19"/>
        <v/>
      </c>
      <c r="I172" s="116"/>
    </row>
    <row r="173" spans="1:9" ht="22.5" customHeight="1">
      <c r="A173" s="8">
        <v>1</v>
      </c>
      <c r="B173" s="44" t="s">
        <v>87</v>
      </c>
      <c r="C173" s="9"/>
      <c r="D173" s="10"/>
      <c r="E173" s="10"/>
      <c r="F173" s="10"/>
      <c r="G173" s="10"/>
      <c r="H173" s="53" t="str">
        <f t="shared" si="19"/>
        <v/>
      </c>
      <c r="I173" s="3"/>
    </row>
    <row r="174" spans="1:9" ht="22.5" customHeight="1">
      <c r="A174" s="16"/>
      <c r="B174" s="38" t="s">
        <v>88</v>
      </c>
      <c r="C174" s="18" t="s">
        <v>3</v>
      </c>
      <c r="D174" s="49">
        <v>1560</v>
      </c>
      <c r="E174" s="49">
        <v>1560</v>
      </c>
      <c r="F174" s="49">
        <f>E174</f>
        <v>1560</v>
      </c>
      <c r="G174" s="49">
        <v>390</v>
      </c>
      <c r="H174" s="48">
        <f t="shared" si="19"/>
        <v>25</v>
      </c>
      <c r="I174" s="3"/>
    </row>
    <row r="175" spans="1:9" ht="22.5" customHeight="1">
      <c r="A175" s="16"/>
      <c r="B175" s="38" t="s">
        <v>89</v>
      </c>
      <c r="C175" s="18" t="s">
        <v>3</v>
      </c>
      <c r="D175" s="49">
        <v>21800</v>
      </c>
      <c r="E175" s="49">
        <v>21800</v>
      </c>
      <c r="F175" s="49">
        <f>E175</f>
        <v>21800</v>
      </c>
      <c r="G175" s="49">
        <v>5400</v>
      </c>
      <c r="H175" s="48">
        <f t="shared" si="19"/>
        <v>24.770642201834864</v>
      </c>
      <c r="I175" s="3"/>
    </row>
    <row r="176" spans="1:9" ht="22.5" hidden="1" customHeight="1" outlineLevel="1">
      <c r="A176" s="8">
        <v>2</v>
      </c>
      <c r="B176" s="44" t="s">
        <v>90</v>
      </c>
      <c r="C176" s="18"/>
      <c r="D176" s="49"/>
      <c r="E176" s="49"/>
      <c r="F176" s="49"/>
      <c r="G176" s="49"/>
      <c r="H176" s="53" t="str">
        <f t="shared" si="19"/>
        <v/>
      </c>
      <c r="I176" s="3"/>
    </row>
    <row r="177" spans="1:9" ht="22.5" hidden="1" customHeight="1" outlineLevel="1">
      <c r="A177" s="1"/>
      <c r="B177" s="38" t="s">
        <v>92</v>
      </c>
      <c r="C177" s="18" t="s">
        <v>93</v>
      </c>
      <c r="D177" s="49">
        <v>9233</v>
      </c>
      <c r="E177" s="49">
        <v>10000</v>
      </c>
      <c r="F177" s="49">
        <v>10250</v>
      </c>
      <c r="G177" s="49"/>
      <c r="H177" s="53">
        <f t="shared" si="19"/>
        <v>0</v>
      </c>
      <c r="I177" s="3"/>
    </row>
    <row r="178" spans="1:9" ht="22.5" hidden="1" customHeight="1" outlineLevel="1">
      <c r="A178" s="1" t="s">
        <v>91</v>
      </c>
      <c r="B178" s="38" t="s">
        <v>94</v>
      </c>
      <c r="C178" s="33" t="s">
        <v>16</v>
      </c>
      <c r="D178" s="49">
        <v>85.6</v>
      </c>
      <c r="E178" s="49">
        <f>E177/E116%</f>
        <v>89.928057553956833</v>
      </c>
      <c r="F178" s="49">
        <f>F177/F116%</f>
        <v>90.070298769771526</v>
      </c>
      <c r="G178" s="49" t="e">
        <f>G177/G116%</f>
        <v>#DIV/0!</v>
      </c>
      <c r="H178" s="53" t="str">
        <f t="shared" si="19"/>
        <v/>
      </c>
      <c r="I178" s="3"/>
    </row>
    <row r="179" spans="1:9" ht="22.5" hidden="1" customHeight="1" outlineLevel="1">
      <c r="A179" s="1"/>
      <c r="B179" s="38" t="s">
        <v>96</v>
      </c>
      <c r="C179" s="18" t="s">
        <v>97</v>
      </c>
      <c r="D179" s="5">
        <v>58</v>
      </c>
      <c r="E179" s="5">
        <v>61</v>
      </c>
      <c r="F179" s="5">
        <v>61</v>
      </c>
      <c r="G179" s="5"/>
      <c r="H179" s="53">
        <f t="shared" si="19"/>
        <v>0</v>
      </c>
      <c r="I179" s="3"/>
    </row>
    <row r="180" spans="1:9" ht="22.5" hidden="1" customHeight="1" outlineLevel="1">
      <c r="A180" s="1" t="s">
        <v>95</v>
      </c>
      <c r="B180" s="38" t="s">
        <v>71</v>
      </c>
      <c r="C180" s="33" t="s">
        <v>16</v>
      </c>
      <c r="D180" s="49">
        <f>D179/67%</f>
        <v>86.567164179104466</v>
      </c>
      <c r="E180" s="49">
        <f>E179/67%</f>
        <v>91.044776119402982</v>
      </c>
      <c r="F180" s="49">
        <f>F179/67%</f>
        <v>91.044776119402982</v>
      </c>
      <c r="G180" s="49">
        <f>G179/67%</f>
        <v>0</v>
      </c>
      <c r="H180" s="53">
        <f t="shared" si="19"/>
        <v>0</v>
      </c>
      <c r="I180" s="3"/>
    </row>
    <row r="181" spans="1:9" ht="22.5" hidden="1" customHeight="1" outlineLevel="1">
      <c r="A181" s="1" t="s">
        <v>98</v>
      </c>
      <c r="B181" s="38" t="s">
        <v>99</v>
      </c>
      <c r="C181" s="18" t="s">
        <v>100</v>
      </c>
      <c r="D181" s="49">
        <v>88</v>
      </c>
      <c r="E181" s="49">
        <v>90</v>
      </c>
      <c r="F181" s="49">
        <v>90</v>
      </c>
      <c r="G181" s="49"/>
      <c r="H181" s="53">
        <f t="shared" si="19"/>
        <v>0</v>
      </c>
      <c r="I181" s="3"/>
    </row>
    <row r="182" spans="1:9" ht="22.5" hidden="1" customHeight="1" outlineLevel="1">
      <c r="A182" s="1" t="s">
        <v>149</v>
      </c>
      <c r="B182" s="17" t="s">
        <v>151</v>
      </c>
      <c r="C182" s="1" t="s">
        <v>37</v>
      </c>
      <c r="D182" s="49">
        <v>4</v>
      </c>
      <c r="E182" s="49">
        <v>4</v>
      </c>
      <c r="F182" s="49">
        <v>4</v>
      </c>
      <c r="G182" s="49"/>
      <c r="H182" s="53">
        <f t="shared" si="19"/>
        <v>0</v>
      </c>
      <c r="I182" s="3"/>
    </row>
    <row r="183" spans="1:9" collapsed="1">
      <c r="A183" s="4"/>
      <c r="B183" s="52"/>
      <c r="C183" s="4"/>
      <c r="D183" s="52"/>
      <c r="E183" s="52"/>
      <c r="F183" s="52"/>
      <c r="G183" s="52"/>
      <c r="H183" s="52"/>
      <c r="I183" s="52"/>
    </row>
  </sheetData>
  <mergeCells count="12">
    <mergeCell ref="A2:I2"/>
    <mergeCell ref="A3:I3"/>
    <mergeCell ref="A1:I1"/>
    <mergeCell ref="H5:H6"/>
    <mergeCell ref="I5:I6"/>
    <mergeCell ref="A5:A6"/>
    <mergeCell ref="B5:B6"/>
    <mergeCell ref="C5:C6"/>
    <mergeCell ref="D5:D6"/>
    <mergeCell ref="E5:E6"/>
    <mergeCell ref="F5:F6"/>
    <mergeCell ref="G5:G6"/>
  </mergeCells>
  <pageMargins left="0.47244094488188981" right="0.39370078740157483" top="0.59055118110236227" bottom="0.47244094488188981" header="0.31496062992125984" footer="0.31496062992125984"/>
  <pageSetup paperSize="9" scale="88" fitToHeight="0" orientation="portrait" r:id="rId1"/>
  <headerFooter>
    <oddFooter>&amp;R&amp;"Times New Roman,Regular"&amp;P/&amp;N</oddFooter>
  </headerFooter>
  <ignoredErrors>
    <ignoredError sqref="F88:G9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F0"/>
    <pageSetUpPr fitToPage="1"/>
  </sheetPr>
  <dimension ref="A1:K194"/>
  <sheetViews>
    <sheetView topLeftCell="A5" zoomScale="85" zoomScaleNormal="85" zoomScaleSheetLayoutView="100" workbookViewId="0">
      <pane xSplit="2" ySplit="3" topLeftCell="C175" activePane="bottomRight" state="frozen"/>
      <selection activeCell="G25" sqref="G25"/>
      <selection pane="topRight" activeCell="G25" sqref="G25"/>
      <selection pane="bottomLeft" activeCell="G25" sqref="G25"/>
      <selection pane="bottomRight" activeCell="G25" sqref="G25"/>
    </sheetView>
  </sheetViews>
  <sheetFormatPr defaultColWidth="9.109375" defaultRowHeight="15.6" outlineLevelRow="1" outlineLevelCol="1"/>
  <cols>
    <col min="1" max="1" width="5.5546875" style="6" customWidth="1"/>
    <col min="2" max="2" width="40.109375" style="2" customWidth="1"/>
    <col min="3" max="3" width="12.5546875" style="6" customWidth="1"/>
    <col min="4" max="5" width="12.109375" style="2" hidden="1" customWidth="1" outlineLevel="1"/>
    <col min="6" max="6" width="12.44140625" style="2" customWidth="1" collapsed="1"/>
    <col min="7" max="9" width="12.44140625" style="2" customWidth="1"/>
    <col min="10" max="10" width="10" style="2" bestFit="1" customWidth="1"/>
    <col min="11" max="11" width="11.88671875" style="2" bestFit="1" customWidth="1"/>
    <col min="12" max="16384" width="9.109375" style="2"/>
  </cols>
  <sheetData>
    <row r="1" spans="1:11" ht="17.399999999999999">
      <c r="A1" s="676" t="s">
        <v>67</v>
      </c>
      <c r="B1" s="676"/>
      <c r="C1" s="676"/>
      <c r="D1" s="676"/>
      <c r="E1" s="676"/>
      <c r="F1" s="676"/>
      <c r="G1" s="676"/>
      <c r="H1" s="676"/>
      <c r="I1" s="676"/>
    </row>
    <row r="2" spans="1:11" ht="17.399999999999999">
      <c r="A2" s="676" t="s">
        <v>264</v>
      </c>
      <c r="B2" s="676"/>
      <c r="C2" s="676"/>
      <c r="D2" s="676"/>
      <c r="E2" s="676"/>
      <c r="F2" s="676"/>
      <c r="G2" s="676"/>
      <c r="H2" s="676"/>
      <c r="I2" s="676"/>
    </row>
    <row r="3" spans="1:11" ht="18">
      <c r="A3" s="677" t="s">
        <v>168</v>
      </c>
      <c r="B3" s="677"/>
      <c r="C3" s="677"/>
      <c r="D3" s="677"/>
      <c r="E3" s="677"/>
      <c r="F3" s="677"/>
      <c r="G3" s="677"/>
      <c r="H3" s="677"/>
      <c r="I3" s="677"/>
    </row>
    <row r="4" spans="1:11" ht="9" customHeight="1"/>
    <row r="5" spans="1:11" ht="16.5" customHeight="1">
      <c r="A5" s="651" t="s">
        <v>32</v>
      </c>
      <c r="B5" s="651" t="s">
        <v>42</v>
      </c>
      <c r="C5" s="651" t="s">
        <v>4</v>
      </c>
      <c r="D5" s="651" t="s">
        <v>154</v>
      </c>
      <c r="E5" s="651" t="s">
        <v>182</v>
      </c>
      <c r="F5" s="683" t="s">
        <v>155</v>
      </c>
      <c r="G5" s="650" t="s">
        <v>262</v>
      </c>
      <c r="H5" s="651" t="s">
        <v>189</v>
      </c>
      <c r="I5" s="651" t="s">
        <v>46</v>
      </c>
    </row>
    <row r="6" spans="1:11">
      <c r="A6" s="653"/>
      <c r="B6" s="653"/>
      <c r="C6" s="653"/>
      <c r="D6" s="653"/>
      <c r="E6" s="653"/>
      <c r="F6" s="684"/>
      <c r="G6" s="650"/>
      <c r="H6" s="653"/>
      <c r="I6" s="653"/>
    </row>
    <row r="7" spans="1:11">
      <c r="A7" s="7">
        <v>1</v>
      </c>
      <c r="B7" s="7">
        <v>2</v>
      </c>
      <c r="C7" s="7">
        <v>3</v>
      </c>
      <c r="D7" s="7"/>
      <c r="E7" s="7"/>
      <c r="F7" s="7">
        <v>4</v>
      </c>
      <c r="G7" s="7">
        <v>5</v>
      </c>
      <c r="H7" s="7" t="s">
        <v>204</v>
      </c>
      <c r="I7" s="7">
        <v>7</v>
      </c>
    </row>
    <row r="8" spans="1:11" ht="23.25" customHeight="1">
      <c r="A8" s="102"/>
      <c r="B8" s="103" t="s">
        <v>68</v>
      </c>
      <c r="C8" s="102"/>
      <c r="D8" s="102"/>
      <c r="E8" s="102"/>
      <c r="F8" s="102"/>
      <c r="G8" s="102"/>
      <c r="H8" s="104"/>
      <c r="I8" s="110"/>
    </row>
    <row r="9" spans="1:11" ht="21" customHeight="1" collapsed="1">
      <c r="A9" s="90" t="s">
        <v>23</v>
      </c>
      <c r="B9" s="91" t="s">
        <v>127</v>
      </c>
      <c r="C9" s="92"/>
      <c r="D9" s="93"/>
      <c r="E9" s="93"/>
      <c r="F9" s="93"/>
      <c r="G9" s="93"/>
      <c r="H9" s="94"/>
      <c r="I9" s="94"/>
      <c r="J9" s="11"/>
    </row>
    <row r="10" spans="1:11" s="15" customFormat="1" ht="25.5" customHeight="1">
      <c r="A10" s="8" t="s">
        <v>21</v>
      </c>
      <c r="B10" s="12" t="s">
        <v>72</v>
      </c>
      <c r="C10" s="9" t="s">
        <v>57</v>
      </c>
      <c r="D10" s="13">
        <v>347871</v>
      </c>
      <c r="E10" s="13">
        <v>313038</v>
      </c>
      <c r="F10" s="13">
        <v>277205</v>
      </c>
      <c r="G10" s="13">
        <v>160001</v>
      </c>
      <c r="H10" s="53">
        <f t="shared" ref="H10:H41" si="0">IFERROR(G10/F10%,"")</f>
        <v>57.719377356108289</v>
      </c>
      <c r="I10" s="69"/>
      <c r="J10" s="14"/>
    </row>
    <row r="11" spans="1:11" ht="21" customHeight="1">
      <c r="A11" s="16" t="s">
        <v>65</v>
      </c>
      <c r="B11" s="17" t="s">
        <v>73</v>
      </c>
      <c r="C11" s="18" t="s">
        <v>57</v>
      </c>
      <c r="D11" s="19">
        <v>90496</v>
      </c>
      <c r="E11" s="19">
        <v>104622</v>
      </c>
      <c r="F11" s="19">
        <v>82860</v>
      </c>
      <c r="G11" s="19">
        <v>42946</v>
      </c>
      <c r="H11" s="48">
        <f t="shared" si="0"/>
        <v>51.829592083031621</v>
      </c>
      <c r="I11" s="3"/>
      <c r="J11" s="11"/>
    </row>
    <row r="12" spans="1:11" s="34" customFormat="1" ht="21" customHeight="1">
      <c r="A12" s="58"/>
      <c r="B12" s="27" t="s">
        <v>206</v>
      </c>
      <c r="C12" s="33" t="s">
        <v>57</v>
      </c>
      <c r="D12" s="59">
        <v>84999</v>
      </c>
      <c r="E12" s="59">
        <v>71796</v>
      </c>
      <c r="F12" s="59">
        <v>70788</v>
      </c>
      <c r="G12" s="59">
        <v>34550</v>
      </c>
      <c r="H12" s="71">
        <f t="shared" si="0"/>
        <v>48.807707521048762</v>
      </c>
      <c r="I12" s="70"/>
      <c r="J12" s="11"/>
      <c r="K12" s="120"/>
    </row>
    <row r="13" spans="1:11" s="15" customFormat="1" ht="20.25" customHeight="1">
      <c r="A13" s="8" t="s">
        <v>22</v>
      </c>
      <c r="B13" s="12" t="s">
        <v>74</v>
      </c>
      <c r="C13" s="9" t="s">
        <v>57</v>
      </c>
      <c r="D13" s="13">
        <v>308217</v>
      </c>
      <c r="E13" s="13">
        <v>300633</v>
      </c>
      <c r="F13" s="13">
        <v>265133</v>
      </c>
      <c r="G13" s="13">
        <v>99197</v>
      </c>
      <c r="H13" s="53">
        <f t="shared" si="0"/>
        <v>37.414052569842305</v>
      </c>
      <c r="I13" s="69"/>
      <c r="J13" s="14"/>
    </row>
    <row r="14" spans="1:11" ht="24" customHeight="1">
      <c r="A14" s="16" t="s">
        <v>65</v>
      </c>
      <c r="B14" s="17" t="s">
        <v>75</v>
      </c>
      <c r="C14" s="18" t="s">
        <v>57</v>
      </c>
      <c r="D14" s="19">
        <v>239615</v>
      </c>
      <c r="E14" s="19">
        <v>264543</v>
      </c>
      <c r="F14" s="19">
        <v>232779</v>
      </c>
      <c r="G14" s="19">
        <v>83594</v>
      </c>
      <c r="H14" s="48">
        <f t="shared" si="0"/>
        <v>35.911315024121592</v>
      </c>
      <c r="I14" s="3"/>
      <c r="J14" s="11"/>
    </row>
    <row r="15" spans="1:11" ht="20.25" customHeight="1">
      <c r="A15" s="90" t="s">
        <v>24</v>
      </c>
      <c r="B15" s="95" t="s">
        <v>77</v>
      </c>
      <c r="C15" s="96"/>
      <c r="D15" s="97"/>
      <c r="E15" s="97"/>
      <c r="F15" s="97"/>
      <c r="G15" s="97"/>
      <c r="H15" s="94" t="str">
        <f t="shared" si="0"/>
        <v/>
      </c>
      <c r="I15" s="94"/>
    </row>
    <row r="16" spans="1:11" ht="20.25" customHeight="1">
      <c r="A16" s="1" t="s">
        <v>33</v>
      </c>
      <c r="B16" s="17" t="s">
        <v>169</v>
      </c>
      <c r="C16" s="1" t="s">
        <v>20</v>
      </c>
      <c r="D16" s="26">
        <f t="shared" ref="D16:G16" si="1">D17+D70</f>
        <v>17898.73</v>
      </c>
      <c r="E16" s="26">
        <f t="shared" si="1"/>
        <v>17734.400000000001</v>
      </c>
      <c r="F16" s="26">
        <f t="shared" si="1"/>
        <v>18028.099999999999</v>
      </c>
      <c r="G16" s="26">
        <f t="shared" si="1"/>
        <v>16288.57</v>
      </c>
      <c r="H16" s="48">
        <f t="shared" si="0"/>
        <v>90.351007593700956</v>
      </c>
      <c r="I16" s="3"/>
    </row>
    <row r="17" spans="1:11" ht="17.25" customHeight="1">
      <c r="A17" s="8" t="s">
        <v>21</v>
      </c>
      <c r="B17" s="12" t="s">
        <v>190</v>
      </c>
      <c r="C17" s="8" t="s">
        <v>20</v>
      </c>
      <c r="D17" s="24">
        <f t="shared" ref="D17:G17" si="2">D20+D49+D56+D52+D65</f>
        <v>8084.73</v>
      </c>
      <c r="E17" s="24">
        <f t="shared" si="2"/>
        <v>7662.8</v>
      </c>
      <c r="F17" s="24">
        <f t="shared" si="2"/>
        <v>7906</v>
      </c>
      <c r="G17" s="24">
        <f t="shared" si="2"/>
        <v>6262.4699999999993</v>
      </c>
      <c r="H17" s="53">
        <f t="shared" si="0"/>
        <v>79.211611434353642</v>
      </c>
      <c r="I17" s="3"/>
      <c r="K17" s="63"/>
    </row>
    <row r="18" spans="1:11" ht="17.25" customHeight="1">
      <c r="A18" s="1" t="s">
        <v>33</v>
      </c>
      <c r="B18" s="17" t="s">
        <v>255</v>
      </c>
      <c r="C18" s="1" t="s">
        <v>20</v>
      </c>
      <c r="D18" s="26"/>
      <c r="E18" s="26"/>
      <c r="F18" s="26">
        <f t="shared" ref="F18:G18" si="3">F28+F43+F52+F59</f>
        <v>747</v>
      </c>
      <c r="G18" s="26">
        <f t="shared" si="3"/>
        <v>751.07</v>
      </c>
      <c r="H18" s="48">
        <f t="shared" si="0"/>
        <v>100.54484605087016</v>
      </c>
      <c r="I18" s="3"/>
      <c r="K18" s="63"/>
    </row>
    <row r="19" spans="1:11" ht="17.25" customHeight="1">
      <c r="A19" s="1" t="s">
        <v>33</v>
      </c>
      <c r="B19" s="17" t="s">
        <v>254</v>
      </c>
      <c r="C19" s="1" t="s">
        <v>20</v>
      </c>
      <c r="D19" s="26"/>
      <c r="E19" s="26"/>
      <c r="F19" s="26">
        <f t="shared" ref="F19:G19" si="4">F31+F46+F49+F62</f>
        <v>7127</v>
      </c>
      <c r="G19" s="26">
        <f t="shared" si="4"/>
        <v>5493</v>
      </c>
      <c r="H19" s="48">
        <f t="shared" si="0"/>
        <v>77.073102287077319</v>
      </c>
      <c r="I19" s="3"/>
      <c r="K19" s="63"/>
    </row>
    <row r="20" spans="1:11" s="15" customFormat="1" ht="17.25" customHeight="1">
      <c r="A20" s="8">
        <v>1</v>
      </c>
      <c r="B20" s="12" t="s">
        <v>7</v>
      </c>
      <c r="C20" s="8" t="s">
        <v>20</v>
      </c>
      <c r="D20" s="24">
        <f t="shared" ref="D20:G20" si="5">D25+D40</f>
        <v>1649.23</v>
      </c>
      <c r="E20" s="24">
        <f t="shared" si="5"/>
        <v>1641.6</v>
      </c>
      <c r="F20" s="24">
        <f t="shared" si="5"/>
        <v>1614</v>
      </c>
      <c r="G20" s="24">
        <f t="shared" si="5"/>
        <v>907.07</v>
      </c>
      <c r="H20" s="53">
        <f t="shared" si="0"/>
        <v>56.200123915737301</v>
      </c>
      <c r="I20" s="69"/>
      <c r="K20" s="147"/>
    </row>
    <row r="21" spans="1:11" ht="17.25" customHeight="1">
      <c r="A21" s="1" t="s">
        <v>33</v>
      </c>
      <c r="B21" s="17" t="s">
        <v>8</v>
      </c>
      <c r="C21" s="1" t="s">
        <v>5</v>
      </c>
      <c r="D21" s="26">
        <f t="shared" ref="D21:F21" si="6">SUM(D22:D23)</f>
        <v>6733.6763900000005</v>
      </c>
      <c r="E21" s="26">
        <f t="shared" si="6"/>
        <v>7129.6886000000004</v>
      </c>
      <c r="F21" s="26">
        <f t="shared" si="6"/>
        <v>7071.0429999999997</v>
      </c>
      <c r="G21" s="26">
        <f t="shared" ref="G21" si="7">SUM(G22:G23)</f>
        <v>2826.5450999999998</v>
      </c>
      <c r="H21" s="48">
        <f t="shared" si="0"/>
        <v>39.973524414997897</v>
      </c>
      <c r="I21" s="3"/>
    </row>
    <row r="22" spans="1:11" ht="17.25" customHeight="1">
      <c r="A22" s="1"/>
      <c r="B22" s="27" t="s">
        <v>9</v>
      </c>
      <c r="C22" s="1" t="s">
        <v>47</v>
      </c>
      <c r="D22" s="26">
        <f t="shared" ref="D22:G22" si="8">D27</f>
        <v>6298.7078300000003</v>
      </c>
      <c r="E22" s="26">
        <f t="shared" si="8"/>
        <v>6644.7176000000009</v>
      </c>
      <c r="F22" s="26">
        <f t="shared" si="8"/>
        <v>6644.5429999999997</v>
      </c>
      <c r="G22" s="26">
        <f t="shared" si="8"/>
        <v>2714.4050999999999</v>
      </c>
      <c r="H22" s="48">
        <f t="shared" si="0"/>
        <v>40.851644725604153</v>
      </c>
      <c r="I22" s="3"/>
    </row>
    <row r="23" spans="1:11" ht="17.25" customHeight="1">
      <c r="A23" s="1"/>
      <c r="B23" s="17" t="s">
        <v>61</v>
      </c>
      <c r="C23" s="1" t="s">
        <v>47</v>
      </c>
      <c r="D23" s="26">
        <f t="shared" ref="D23:G23" si="9">D42</f>
        <v>434.96856000000002</v>
      </c>
      <c r="E23" s="26">
        <f t="shared" si="9"/>
        <v>484.97099999999995</v>
      </c>
      <c r="F23" s="26">
        <f t="shared" si="9"/>
        <v>426.5</v>
      </c>
      <c r="G23" s="26">
        <f t="shared" si="9"/>
        <v>112.13999999999999</v>
      </c>
      <c r="H23" s="48">
        <f t="shared" si="0"/>
        <v>26.293083235638921</v>
      </c>
      <c r="I23" s="3"/>
    </row>
    <row r="24" spans="1:11" ht="17.25" customHeight="1">
      <c r="A24" s="1" t="s">
        <v>33</v>
      </c>
      <c r="B24" s="17" t="s">
        <v>10</v>
      </c>
      <c r="C24" s="1" t="s">
        <v>34</v>
      </c>
      <c r="D24" s="26">
        <f>D21/D129*1000</f>
        <v>150.81697702024726</v>
      </c>
      <c r="E24" s="26">
        <f>E21/E129*1000</f>
        <v>155.51047178659456</v>
      </c>
      <c r="F24" s="26">
        <f>F21/F129*1000</f>
        <v>150.60152922133241</v>
      </c>
      <c r="G24" s="26" t="str">
        <f>IFERROR(G21/G129*1000,"")</f>
        <v/>
      </c>
      <c r="H24" s="48" t="str">
        <f t="shared" si="0"/>
        <v/>
      </c>
      <c r="I24" s="3"/>
    </row>
    <row r="25" spans="1:11" s="15" customFormat="1" ht="17.25" customHeight="1">
      <c r="A25" s="8" t="s">
        <v>17</v>
      </c>
      <c r="B25" s="36" t="s">
        <v>191</v>
      </c>
      <c r="C25" s="8" t="s">
        <v>20</v>
      </c>
      <c r="D25" s="13">
        <f t="shared" ref="D25:G25" si="10">D28+D31</f>
        <v>1558.31</v>
      </c>
      <c r="E25" s="13">
        <f t="shared" si="10"/>
        <v>1540</v>
      </c>
      <c r="F25" s="13">
        <f t="shared" si="10"/>
        <v>1531</v>
      </c>
      <c r="G25" s="13">
        <f t="shared" si="10"/>
        <v>863.87</v>
      </c>
      <c r="H25" s="53">
        <f t="shared" si="0"/>
        <v>56.425212279555844</v>
      </c>
      <c r="I25" s="69"/>
    </row>
    <row r="26" spans="1:11" ht="17.25" customHeight="1">
      <c r="A26" s="1"/>
      <c r="B26" s="29" t="s">
        <v>11</v>
      </c>
      <c r="C26" s="1" t="s">
        <v>6</v>
      </c>
      <c r="D26" s="30">
        <f t="shared" ref="D26:G26" si="11">D27/D25*10</f>
        <v>40.420120707689748</v>
      </c>
      <c r="E26" s="30">
        <f t="shared" si="11"/>
        <v>43.147516883116886</v>
      </c>
      <c r="F26" s="30">
        <f t="shared" si="11"/>
        <v>43.400019595035921</v>
      </c>
      <c r="G26" s="30">
        <f t="shared" si="11"/>
        <v>31.421453459432552</v>
      </c>
      <c r="H26" s="48">
        <f t="shared" si="0"/>
        <v>72.399629660597029</v>
      </c>
      <c r="I26" s="3"/>
    </row>
    <row r="27" spans="1:11" ht="17.25" customHeight="1">
      <c r="A27" s="1"/>
      <c r="B27" s="29" t="s">
        <v>12</v>
      </c>
      <c r="C27" s="1" t="s">
        <v>47</v>
      </c>
      <c r="D27" s="19">
        <f t="shared" ref="D27:G27" si="12">D30+D33</f>
        <v>6298.7078300000003</v>
      </c>
      <c r="E27" s="19">
        <f t="shared" si="12"/>
        <v>6644.7176000000009</v>
      </c>
      <c r="F27" s="19">
        <f t="shared" si="12"/>
        <v>6644.5429999999997</v>
      </c>
      <c r="G27" s="19">
        <f t="shared" si="12"/>
        <v>2714.4050999999999</v>
      </c>
      <c r="H27" s="48">
        <f t="shared" si="0"/>
        <v>40.851644725604153</v>
      </c>
      <c r="I27" s="3"/>
    </row>
    <row r="28" spans="1:11" ht="17.25" customHeight="1">
      <c r="A28" s="1" t="s">
        <v>183</v>
      </c>
      <c r="B28" s="100" t="s">
        <v>192</v>
      </c>
      <c r="C28" s="1" t="s">
        <v>20</v>
      </c>
      <c r="D28" s="19">
        <v>597.30999999999995</v>
      </c>
      <c r="E28" s="119">
        <v>570.5</v>
      </c>
      <c r="F28" s="49">
        <v>571</v>
      </c>
      <c r="G28" s="49">
        <v>573.87</v>
      </c>
      <c r="H28" s="48">
        <f t="shared" si="0"/>
        <v>100.50262697022767</v>
      </c>
      <c r="I28" s="3"/>
    </row>
    <row r="29" spans="1:11" ht="17.25" customHeight="1">
      <c r="A29" s="1"/>
      <c r="B29" s="100" t="s">
        <v>11</v>
      </c>
      <c r="C29" s="1" t="s">
        <v>6</v>
      </c>
      <c r="D29" s="22">
        <v>39.33</v>
      </c>
      <c r="E29" s="30">
        <v>47.2</v>
      </c>
      <c r="F29" s="48">
        <v>47.33</v>
      </c>
      <c r="G29" s="48">
        <v>47.3</v>
      </c>
      <c r="H29" s="48">
        <f t="shared" si="0"/>
        <v>99.936615254595395</v>
      </c>
      <c r="I29" s="3"/>
    </row>
    <row r="30" spans="1:11" ht="17.25" customHeight="1">
      <c r="A30" s="1"/>
      <c r="B30" s="101" t="s">
        <v>12</v>
      </c>
      <c r="C30" s="1" t="s">
        <v>47</v>
      </c>
      <c r="D30" s="19">
        <f t="shared" ref="D30:G30" si="13">D28*D29/10</f>
        <v>2349.2202299999999</v>
      </c>
      <c r="E30" s="19">
        <f t="shared" si="13"/>
        <v>2692.76</v>
      </c>
      <c r="F30" s="19">
        <f t="shared" si="13"/>
        <v>2702.5430000000001</v>
      </c>
      <c r="G30" s="19">
        <f t="shared" si="13"/>
        <v>2714.4050999999999</v>
      </c>
      <c r="H30" s="48">
        <f t="shared" si="0"/>
        <v>100.43892363599765</v>
      </c>
      <c r="I30" s="3"/>
    </row>
    <row r="31" spans="1:11" ht="17.25" customHeight="1">
      <c r="A31" s="1" t="s">
        <v>184</v>
      </c>
      <c r="B31" s="100" t="s">
        <v>193</v>
      </c>
      <c r="C31" s="1" t="s">
        <v>20</v>
      </c>
      <c r="D31" s="19">
        <f t="shared" ref="D31:G31" si="14">D34+D37</f>
        <v>961</v>
      </c>
      <c r="E31" s="26">
        <f t="shared" si="14"/>
        <v>969.5</v>
      </c>
      <c r="F31" s="26">
        <f t="shared" si="14"/>
        <v>960</v>
      </c>
      <c r="G31" s="26">
        <f t="shared" si="14"/>
        <v>290</v>
      </c>
      <c r="H31" s="48">
        <f t="shared" si="0"/>
        <v>30.208333333333336</v>
      </c>
      <c r="I31" s="3"/>
    </row>
    <row r="32" spans="1:11" ht="17.25" customHeight="1">
      <c r="A32" s="1"/>
      <c r="B32" s="101" t="s">
        <v>11</v>
      </c>
      <c r="C32" s="1" t="s">
        <v>6</v>
      </c>
      <c r="D32" s="30">
        <f t="shared" ref="D32:F32" si="15">D33/D31*10</f>
        <v>41.097685744016658</v>
      </c>
      <c r="E32" s="25">
        <f t="shared" si="15"/>
        <v>40.762842702423939</v>
      </c>
      <c r="F32" s="25">
        <f t="shared" si="15"/>
        <v>41.0625</v>
      </c>
      <c r="G32" s="25">
        <f t="shared" ref="G32" si="16">G33/G31*10</f>
        <v>0</v>
      </c>
      <c r="H32" s="48">
        <f t="shared" si="0"/>
        <v>0</v>
      </c>
      <c r="I32" s="3"/>
    </row>
    <row r="33" spans="1:9" ht="17.25" customHeight="1">
      <c r="A33" s="1"/>
      <c r="B33" s="101" t="s">
        <v>12</v>
      </c>
      <c r="C33" s="1" t="s">
        <v>47</v>
      </c>
      <c r="D33" s="19">
        <f t="shared" ref="D33:G33" si="17">D36+D39</f>
        <v>3949.4876000000004</v>
      </c>
      <c r="E33" s="26">
        <f t="shared" si="17"/>
        <v>3951.9576000000006</v>
      </c>
      <c r="F33" s="26">
        <f t="shared" si="17"/>
        <v>3942</v>
      </c>
      <c r="G33" s="26">
        <f t="shared" si="17"/>
        <v>0</v>
      </c>
      <c r="H33" s="48">
        <f t="shared" si="0"/>
        <v>0</v>
      </c>
      <c r="I33" s="3"/>
    </row>
    <row r="34" spans="1:9" ht="17.25" customHeight="1">
      <c r="A34" s="1"/>
      <c r="B34" s="98" t="s">
        <v>194</v>
      </c>
      <c r="C34" s="1" t="s">
        <v>20</v>
      </c>
      <c r="D34" s="19">
        <v>906.4</v>
      </c>
      <c r="E34" s="30">
        <v>903.3</v>
      </c>
      <c r="F34" s="19">
        <v>900</v>
      </c>
      <c r="G34" s="19">
        <v>280</v>
      </c>
      <c r="H34" s="48">
        <f t="shared" si="0"/>
        <v>31.111111111111111</v>
      </c>
      <c r="I34" s="3"/>
    </row>
    <row r="35" spans="1:9" ht="17.25" customHeight="1">
      <c r="A35" s="1"/>
      <c r="B35" s="99" t="s">
        <v>11</v>
      </c>
      <c r="C35" s="1" t="s">
        <v>6</v>
      </c>
      <c r="D35" s="22">
        <v>42.83</v>
      </c>
      <c r="E35" s="30">
        <v>42.84</v>
      </c>
      <c r="F35" s="30">
        <v>43</v>
      </c>
      <c r="G35" s="30"/>
      <c r="H35" s="48">
        <f t="shared" si="0"/>
        <v>0</v>
      </c>
      <c r="I35" s="3"/>
    </row>
    <row r="36" spans="1:9" ht="17.25" customHeight="1">
      <c r="A36" s="1"/>
      <c r="B36" s="99" t="s">
        <v>12</v>
      </c>
      <c r="C36" s="1" t="s">
        <v>47</v>
      </c>
      <c r="D36" s="19">
        <f>D35*D34/10</f>
        <v>3882.1112000000003</v>
      </c>
      <c r="E36" s="19">
        <f t="shared" ref="E36:G36" si="18">E34*E35/10</f>
        <v>3869.7372000000005</v>
      </c>
      <c r="F36" s="19">
        <f t="shared" si="18"/>
        <v>3870</v>
      </c>
      <c r="G36" s="66">
        <f t="shared" si="18"/>
        <v>0</v>
      </c>
      <c r="H36" s="48">
        <f t="shared" si="0"/>
        <v>0</v>
      </c>
      <c r="I36" s="3"/>
    </row>
    <row r="37" spans="1:9" ht="17.25" customHeight="1">
      <c r="A37" s="1"/>
      <c r="B37" s="98" t="s">
        <v>207</v>
      </c>
      <c r="C37" s="1" t="s">
        <v>20</v>
      </c>
      <c r="D37" s="19">
        <v>54.6</v>
      </c>
      <c r="E37" s="19">
        <v>66.2</v>
      </c>
      <c r="F37" s="19">
        <v>60</v>
      </c>
      <c r="G37" s="19">
        <v>10</v>
      </c>
      <c r="H37" s="48">
        <f t="shared" si="0"/>
        <v>16.666666666666668</v>
      </c>
      <c r="I37" s="3"/>
    </row>
    <row r="38" spans="1:9" ht="17.25" customHeight="1">
      <c r="A38" s="1"/>
      <c r="B38" s="99" t="s">
        <v>11</v>
      </c>
      <c r="C38" s="1" t="s">
        <v>6</v>
      </c>
      <c r="D38" s="30">
        <v>12.34</v>
      </c>
      <c r="E38" s="30">
        <v>12.42</v>
      </c>
      <c r="F38" s="30">
        <v>12</v>
      </c>
      <c r="G38" s="30"/>
      <c r="H38" s="48">
        <f t="shared" si="0"/>
        <v>0</v>
      </c>
      <c r="I38" s="3"/>
    </row>
    <row r="39" spans="1:9" ht="17.25" customHeight="1">
      <c r="A39" s="1"/>
      <c r="B39" s="99" t="s">
        <v>12</v>
      </c>
      <c r="C39" s="1" t="s">
        <v>47</v>
      </c>
      <c r="D39" s="19">
        <f t="shared" ref="D39:G39" si="19">D38*D37/10</f>
        <v>67.376400000000004</v>
      </c>
      <c r="E39" s="19">
        <f t="shared" si="19"/>
        <v>82.220400000000012</v>
      </c>
      <c r="F39" s="19">
        <f t="shared" si="19"/>
        <v>72</v>
      </c>
      <c r="G39" s="66">
        <f t="shared" si="19"/>
        <v>0</v>
      </c>
      <c r="H39" s="48">
        <f t="shared" si="0"/>
        <v>0</v>
      </c>
      <c r="I39" s="3"/>
    </row>
    <row r="40" spans="1:9" s="15" customFormat="1" ht="17.25" customHeight="1">
      <c r="A40" s="8" t="s">
        <v>18</v>
      </c>
      <c r="B40" s="36" t="s">
        <v>195</v>
      </c>
      <c r="C40" s="8" t="s">
        <v>20</v>
      </c>
      <c r="D40" s="13">
        <f t="shared" ref="D40:G40" si="20">D43+D46</f>
        <v>90.92</v>
      </c>
      <c r="E40" s="13">
        <f t="shared" si="20"/>
        <v>101.6</v>
      </c>
      <c r="F40" s="13">
        <f t="shared" si="20"/>
        <v>83</v>
      </c>
      <c r="G40" s="13">
        <f t="shared" si="20"/>
        <v>43.2</v>
      </c>
      <c r="H40" s="53">
        <f t="shared" si="0"/>
        <v>52.048192771084345</v>
      </c>
      <c r="I40" s="69"/>
    </row>
    <row r="41" spans="1:9" ht="17.25" customHeight="1">
      <c r="A41" s="1"/>
      <c r="B41" s="29" t="s">
        <v>11</v>
      </c>
      <c r="C41" s="1" t="s">
        <v>6</v>
      </c>
      <c r="D41" s="30">
        <f t="shared" ref="D41:G41" si="21">D42/D40*10</f>
        <v>47.840800703915534</v>
      </c>
      <c r="E41" s="30">
        <f t="shared" si="21"/>
        <v>47.733366141732283</v>
      </c>
      <c r="F41" s="30">
        <f t="shared" si="21"/>
        <v>51.385542168674696</v>
      </c>
      <c r="G41" s="30">
        <f t="shared" si="21"/>
        <v>25.958333333333329</v>
      </c>
      <c r="H41" s="48">
        <f t="shared" si="0"/>
        <v>50.516803438843297</v>
      </c>
      <c r="I41" s="3"/>
    </row>
    <row r="42" spans="1:9" ht="17.25" customHeight="1">
      <c r="A42" s="1"/>
      <c r="B42" s="29" t="s">
        <v>12</v>
      </c>
      <c r="C42" s="1" t="s">
        <v>47</v>
      </c>
      <c r="D42" s="19">
        <f t="shared" ref="D42:G42" si="22">D45+D48</f>
        <v>434.96856000000002</v>
      </c>
      <c r="E42" s="19">
        <f t="shared" si="22"/>
        <v>484.97099999999995</v>
      </c>
      <c r="F42" s="19">
        <f t="shared" si="22"/>
        <v>426.5</v>
      </c>
      <c r="G42" s="19">
        <f t="shared" si="22"/>
        <v>112.13999999999999</v>
      </c>
      <c r="H42" s="48">
        <f t="shared" ref="H42:H73" si="23">IFERROR(G42/F42%,"")</f>
        <v>26.293083235638921</v>
      </c>
      <c r="I42" s="3"/>
    </row>
    <row r="43" spans="1:9" ht="17.25" customHeight="1">
      <c r="A43" s="1" t="s">
        <v>185</v>
      </c>
      <c r="B43" s="100" t="s">
        <v>208</v>
      </c>
      <c r="C43" s="1" t="s">
        <v>20</v>
      </c>
      <c r="D43" s="26">
        <v>28.22</v>
      </c>
      <c r="E43" s="26">
        <v>38.700000000000003</v>
      </c>
      <c r="F43" s="26">
        <v>23</v>
      </c>
      <c r="G43" s="26">
        <v>25.2</v>
      </c>
      <c r="H43" s="48">
        <f t="shared" si="23"/>
        <v>109.56521739130434</v>
      </c>
      <c r="I43" s="3"/>
    </row>
    <row r="44" spans="1:9" ht="17.25" customHeight="1">
      <c r="A44" s="1"/>
      <c r="B44" s="100" t="s">
        <v>11</v>
      </c>
      <c r="C44" s="1" t="s">
        <v>6</v>
      </c>
      <c r="D44" s="25">
        <v>56.13</v>
      </c>
      <c r="E44" s="25">
        <v>47.3</v>
      </c>
      <c r="F44" s="25">
        <v>55</v>
      </c>
      <c r="G44" s="25">
        <v>44.5</v>
      </c>
      <c r="H44" s="48">
        <f t="shared" si="23"/>
        <v>80.909090909090907</v>
      </c>
      <c r="I44" s="3"/>
    </row>
    <row r="45" spans="1:9" ht="17.25" customHeight="1">
      <c r="A45" s="1"/>
      <c r="B45" s="101" t="s">
        <v>12</v>
      </c>
      <c r="C45" s="1" t="s">
        <v>47</v>
      </c>
      <c r="D45" s="26">
        <f t="shared" ref="D45:G45" si="24">D44*D43/10</f>
        <v>158.39885999999998</v>
      </c>
      <c r="E45" s="26">
        <f t="shared" si="24"/>
        <v>183.05099999999999</v>
      </c>
      <c r="F45" s="26">
        <f t="shared" si="24"/>
        <v>126.5</v>
      </c>
      <c r="G45" s="26">
        <f t="shared" si="24"/>
        <v>112.13999999999999</v>
      </c>
      <c r="H45" s="48">
        <f t="shared" si="23"/>
        <v>88.648221343873516</v>
      </c>
      <c r="I45" s="3"/>
    </row>
    <row r="46" spans="1:9" ht="17.25" customHeight="1">
      <c r="A46" s="1" t="s">
        <v>186</v>
      </c>
      <c r="B46" s="100" t="s">
        <v>209</v>
      </c>
      <c r="C46" s="1" t="s">
        <v>20</v>
      </c>
      <c r="D46" s="26">
        <v>62.7</v>
      </c>
      <c r="E46" s="26">
        <v>62.9</v>
      </c>
      <c r="F46" s="26">
        <v>60</v>
      </c>
      <c r="G46" s="26">
        <v>18</v>
      </c>
      <c r="H46" s="48">
        <f t="shared" si="23"/>
        <v>30</v>
      </c>
      <c r="I46" s="3"/>
    </row>
    <row r="47" spans="1:9" ht="17.25" customHeight="1">
      <c r="A47" s="1"/>
      <c r="B47" s="100" t="s">
        <v>11</v>
      </c>
      <c r="C47" s="1" t="s">
        <v>6</v>
      </c>
      <c r="D47" s="25">
        <v>44.11</v>
      </c>
      <c r="E47" s="25">
        <v>48</v>
      </c>
      <c r="F47" s="25">
        <v>50</v>
      </c>
      <c r="G47" s="25"/>
      <c r="H47" s="48">
        <f t="shared" si="23"/>
        <v>0</v>
      </c>
      <c r="I47" s="3"/>
    </row>
    <row r="48" spans="1:9" ht="17.25" customHeight="1">
      <c r="A48" s="1"/>
      <c r="B48" s="101" t="s">
        <v>12</v>
      </c>
      <c r="C48" s="1" t="s">
        <v>47</v>
      </c>
      <c r="D48" s="26">
        <f>D46*D47/10</f>
        <v>276.56970000000001</v>
      </c>
      <c r="E48" s="26">
        <f t="shared" ref="E48:G48" si="25">E47*E46/10</f>
        <v>301.91999999999996</v>
      </c>
      <c r="F48" s="26">
        <f t="shared" si="25"/>
        <v>300</v>
      </c>
      <c r="G48" s="26">
        <f t="shared" si="25"/>
        <v>0</v>
      </c>
      <c r="H48" s="48">
        <f t="shared" si="23"/>
        <v>0</v>
      </c>
      <c r="I48" s="3"/>
    </row>
    <row r="49" spans="1:9" ht="19.5" customHeight="1">
      <c r="A49" s="8">
        <v>2</v>
      </c>
      <c r="B49" s="12" t="s">
        <v>13</v>
      </c>
      <c r="C49" s="1" t="s">
        <v>20</v>
      </c>
      <c r="D49" s="24">
        <v>6199.5</v>
      </c>
      <c r="E49" s="24">
        <v>5720.5</v>
      </c>
      <c r="F49" s="24">
        <v>6000</v>
      </c>
      <c r="G49" s="24">
        <v>5100</v>
      </c>
      <c r="H49" s="53">
        <f t="shared" si="23"/>
        <v>85</v>
      </c>
      <c r="I49" s="3"/>
    </row>
    <row r="50" spans="1:9" ht="19.5" customHeight="1">
      <c r="A50" s="31"/>
      <c r="B50" s="29" t="s">
        <v>11</v>
      </c>
      <c r="C50" s="1" t="s">
        <v>6</v>
      </c>
      <c r="D50" s="25">
        <f>D51/D49*10</f>
        <v>148.34260827486088</v>
      </c>
      <c r="E50" s="25">
        <v>148.51</v>
      </c>
      <c r="F50" s="25">
        <v>145</v>
      </c>
      <c r="G50" s="25"/>
      <c r="H50" s="53">
        <f t="shared" si="23"/>
        <v>0</v>
      </c>
      <c r="I50" s="3"/>
    </row>
    <row r="51" spans="1:9" ht="19.5" customHeight="1">
      <c r="A51" s="31"/>
      <c r="B51" s="29" t="s">
        <v>12</v>
      </c>
      <c r="C51" s="1" t="s">
        <v>47</v>
      </c>
      <c r="D51" s="26">
        <v>91965</v>
      </c>
      <c r="E51" s="26">
        <f>E50*E49/10</f>
        <v>84955.145499999999</v>
      </c>
      <c r="F51" s="26">
        <f>F50*F49/10</f>
        <v>87000</v>
      </c>
      <c r="G51" s="26">
        <f>G50*G49/10</f>
        <v>0</v>
      </c>
      <c r="H51" s="53">
        <f t="shared" si="23"/>
        <v>0</v>
      </c>
      <c r="I51" s="3"/>
    </row>
    <row r="52" spans="1:9" s="15" customFormat="1" ht="19.5" customHeight="1">
      <c r="A52" s="8">
        <v>3</v>
      </c>
      <c r="B52" s="12" t="s">
        <v>114</v>
      </c>
      <c r="C52" s="8" t="s">
        <v>20</v>
      </c>
      <c r="D52" s="24">
        <v>9.1999999999999993</v>
      </c>
      <c r="E52" s="24">
        <v>10.5</v>
      </c>
      <c r="F52" s="24">
        <v>30</v>
      </c>
      <c r="G52" s="24">
        <v>29.1</v>
      </c>
      <c r="H52" s="53">
        <f t="shared" si="23"/>
        <v>97.000000000000014</v>
      </c>
      <c r="I52" s="69"/>
    </row>
    <row r="53" spans="1:9" ht="19.5" customHeight="1">
      <c r="A53" s="1"/>
      <c r="B53" s="27" t="s">
        <v>53</v>
      </c>
      <c r="C53" s="1" t="s">
        <v>20</v>
      </c>
      <c r="D53" s="26"/>
      <c r="E53" s="26"/>
      <c r="F53" s="26">
        <v>20</v>
      </c>
      <c r="G53" s="26">
        <v>19.100000000000001</v>
      </c>
      <c r="H53" s="48">
        <f t="shared" si="23"/>
        <v>95.5</v>
      </c>
      <c r="I53" s="3"/>
    </row>
    <row r="54" spans="1:9" ht="19.5" customHeight="1">
      <c r="A54" s="31"/>
      <c r="B54" s="29" t="s">
        <v>11</v>
      </c>
      <c r="C54" s="1" t="s">
        <v>6</v>
      </c>
      <c r="D54" s="25"/>
      <c r="E54" s="25">
        <v>600</v>
      </c>
      <c r="F54" s="25">
        <v>733.3</v>
      </c>
      <c r="G54" s="25"/>
      <c r="H54" s="48">
        <f t="shared" si="23"/>
        <v>0</v>
      </c>
      <c r="I54" s="3"/>
    </row>
    <row r="55" spans="1:9" ht="19.5" customHeight="1">
      <c r="A55" s="31"/>
      <c r="B55" s="29" t="s">
        <v>12</v>
      </c>
      <c r="C55" s="1" t="s">
        <v>47</v>
      </c>
      <c r="D55" s="26">
        <f t="shared" ref="D55:G55" si="26">D54*D52/10</f>
        <v>0</v>
      </c>
      <c r="E55" s="26">
        <f t="shared" si="26"/>
        <v>630</v>
      </c>
      <c r="F55" s="26">
        <f t="shared" si="26"/>
        <v>2199.9</v>
      </c>
      <c r="G55" s="26">
        <f t="shared" si="26"/>
        <v>0</v>
      </c>
      <c r="H55" s="48">
        <f t="shared" si="23"/>
        <v>0</v>
      </c>
      <c r="I55" s="3"/>
    </row>
    <row r="56" spans="1:9" ht="19.5" customHeight="1">
      <c r="A56" s="8">
        <v>4</v>
      </c>
      <c r="B56" s="12" t="s">
        <v>60</v>
      </c>
      <c r="C56" s="1" t="s">
        <v>20</v>
      </c>
      <c r="D56" s="24">
        <f t="shared" ref="D56:G56" si="27">D59+D62</f>
        <v>219.3</v>
      </c>
      <c r="E56" s="24">
        <f t="shared" si="27"/>
        <v>259</v>
      </c>
      <c r="F56" s="24">
        <f t="shared" si="27"/>
        <v>230</v>
      </c>
      <c r="G56" s="24">
        <f t="shared" si="27"/>
        <v>207.9</v>
      </c>
      <c r="H56" s="53">
        <f t="shared" si="23"/>
        <v>90.391304347826093</v>
      </c>
      <c r="I56" s="3"/>
    </row>
    <row r="57" spans="1:9" ht="19.5" customHeight="1">
      <c r="A57" s="31"/>
      <c r="B57" s="29" t="s">
        <v>11</v>
      </c>
      <c r="C57" s="1" t="s">
        <v>6</v>
      </c>
      <c r="D57" s="25">
        <f t="shared" ref="D57:G57" si="28">D58/D56*10</f>
        <v>119.96580027359781</v>
      </c>
      <c r="E57" s="25">
        <f t="shared" si="28"/>
        <v>134.57142857142858</v>
      </c>
      <c r="F57" s="25">
        <f t="shared" si="28"/>
        <v>136.63173913043477</v>
      </c>
      <c r="G57" s="25">
        <f t="shared" si="28"/>
        <v>89.854737854737849</v>
      </c>
      <c r="H57" s="48">
        <f t="shared" si="23"/>
        <v>65.76417633750421</v>
      </c>
      <c r="I57" s="3"/>
    </row>
    <row r="58" spans="1:9" ht="19.5" customHeight="1">
      <c r="A58" s="31"/>
      <c r="B58" s="29" t="s">
        <v>12</v>
      </c>
      <c r="C58" s="1" t="s">
        <v>47</v>
      </c>
      <c r="D58" s="26">
        <f t="shared" ref="D58:G58" si="29">D61+D64</f>
        <v>2630.85</v>
      </c>
      <c r="E58" s="26">
        <f t="shared" si="29"/>
        <v>3485.4</v>
      </c>
      <c r="F58" s="26">
        <f t="shared" si="29"/>
        <v>3142.5299999999997</v>
      </c>
      <c r="G58" s="26">
        <f t="shared" si="29"/>
        <v>1868.08</v>
      </c>
      <c r="H58" s="48">
        <f t="shared" si="23"/>
        <v>59.445096785074448</v>
      </c>
      <c r="I58" s="3"/>
    </row>
    <row r="59" spans="1:9" ht="19.5" customHeight="1">
      <c r="A59" s="1"/>
      <c r="B59" s="118" t="s">
        <v>210</v>
      </c>
      <c r="C59" s="18" t="s">
        <v>20</v>
      </c>
      <c r="D59" s="19">
        <v>97.3</v>
      </c>
      <c r="E59" s="19">
        <v>137</v>
      </c>
      <c r="F59" s="19">
        <v>123</v>
      </c>
      <c r="G59" s="19">
        <v>122.9</v>
      </c>
      <c r="H59" s="48">
        <f t="shared" si="23"/>
        <v>99.918699186991873</v>
      </c>
      <c r="I59" s="3"/>
    </row>
    <row r="60" spans="1:9" ht="19.5" customHeight="1">
      <c r="A60" s="1"/>
      <c r="B60" s="118" t="s">
        <v>11</v>
      </c>
      <c r="C60" s="18" t="s">
        <v>6</v>
      </c>
      <c r="D60" s="30">
        <v>145</v>
      </c>
      <c r="E60" s="30">
        <v>152</v>
      </c>
      <c r="F60" s="30">
        <v>151.1</v>
      </c>
      <c r="G60" s="30">
        <v>152</v>
      </c>
      <c r="H60" s="48">
        <f t="shared" si="23"/>
        <v>100.59563203176705</v>
      </c>
      <c r="I60" s="3"/>
    </row>
    <row r="61" spans="1:9" ht="19.5" customHeight="1">
      <c r="A61" s="1"/>
      <c r="B61" s="118" t="s">
        <v>12</v>
      </c>
      <c r="C61" s="18" t="s">
        <v>47</v>
      </c>
      <c r="D61" s="19">
        <f t="shared" ref="D61:G61" si="30">D60*D59/10</f>
        <v>1410.85</v>
      </c>
      <c r="E61" s="19">
        <f t="shared" si="30"/>
        <v>2082.4</v>
      </c>
      <c r="F61" s="19">
        <f t="shared" si="30"/>
        <v>1858.53</v>
      </c>
      <c r="G61" s="19">
        <f t="shared" si="30"/>
        <v>1868.08</v>
      </c>
      <c r="H61" s="48">
        <f t="shared" si="23"/>
        <v>100.51384696507455</v>
      </c>
      <c r="I61" s="3"/>
    </row>
    <row r="62" spans="1:9" ht="19.5" customHeight="1">
      <c r="A62" s="1"/>
      <c r="B62" s="118" t="s">
        <v>211</v>
      </c>
      <c r="C62" s="18" t="s">
        <v>20</v>
      </c>
      <c r="D62" s="19">
        <v>122</v>
      </c>
      <c r="E62" s="19">
        <v>122</v>
      </c>
      <c r="F62" s="19">
        <v>107</v>
      </c>
      <c r="G62" s="19">
        <v>85</v>
      </c>
      <c r="H62" s="48">
        <f t="shared" si="23"/>
        <v>79.43925233644859</v>
      </c>
      <c r="I62" s="3"/>
    </row>
    <row r="63" spans="1:9" ht="19.5" customHeight="1">
      <c r="A63" s="1"/>
      <c r="B63" s="118" t="s">
        <v>11</v>
      </c>
      <c r="C63" s="18" t="s">
        <v>6</v>
      </c>
      <c r="D63" s="30">
        <v>100</v>
      </c>
      <c r="E63" s="30">
        <v>115</v>
      </c>
      <c r="F63" s="30">
        <v>120</v>
      </c>
      <c r="G63" s="30"/>
      <c r="H63" s="48">
        <f t="shared" si="23"/>
        <v>0</v>
      </c>
      <c r="I63" s="3"/>
    </row>
    <row r="64" spans="1:9" ht="19.5" customHeight="1">
      <c r="A64" s="1"/>
      <c r="B64" s="118" t="s">
        <v>12</v>
      </c>
      <c r="C64" s="18" t="s">
        <v>47</v>
      </c>
      <c r="D64" s="19">
        <f t="shared" ref="D64:G64" si="31">D63*D62/10</f>
        <v>1220</v>
      </c>
      <c r="E64" s="19">
        <f t="shared" si="31"/>
        <v>1403</v>
      </c>
      <c r="F64" s="19">
        <f t="shared" si="31"/>
        <v>1284</v>
      </c>
      <c r="G64" s="19">
        <f t="shared" si="31"/>
        <v>0</v>
      </c>
      <c r="H64" s="48">
        <f t="shared" si="23"/>
        <v>0</v>
      </c>
      <c r="I64" s="3"/>
    </row>
    <row r="65" spans="1:10" s="15" customFormat="1" ht="31.2">
      <c r="A65" s="8">
        <v>5</v>
      </c>
      <c r="B65" s="12" t="s">
        <v>179</v>
      </c>
      <c r="C65" s="8" t="s">
        <v>20</v>
      </c>
      <c r="D65" s="28">
        <f t="shared" ref="D65:E65" si="32">SUM(D66:D68)</f>
        <v>7.5</v>
      </c>
      <c r="E65" s="28">
        <f t="shared" si="32"/>
        <v>31.2</v>
      </c>
      <c r="F65" s="28">
        <f t="shared" ref="F65:G65" si="33">SUM(F66:F69)</f>
        <v>32</v>
      </c>
      <c r="G65" s="28">
        <f t="shared" si="33"/>
        <v>18.399999999999999</v>
      </c>
      <c r="H65" s="53">
        <f t="shared" si="23"/>
        <v>57.499999999999993</v>
      </c>
      <c r="I65" s="69"/>
    </row>
    <row r="66" spans="1:10" s="88" customFormat="1" ht="19.5" hidden="1" customHeight="1" outlineLevel="1">
      <c r="A66" s="84"/>
      <c r="B66" s="85" t="s">
        <v>170</v>
      </c>
      <c r="C66" s="84" t="s">
        <v>20</v>
      </c>
      <c r="D66" s="133">
        <v>3.7</v>
      </c>
      <c r="E66" s="133">
        <v>4</v>
      </c>
      <c r="F66" s="133">
        <v>4</v>
      </c>
      <c r="G66" s="133">
        <v>2.5</v>
      </c>
      <c r="H66" s="87">
        <f t="shared" si="23"/>
        <v>62.5</v>
      </c>
      <c r="I66" s="111"/>
    </row>
    <row r="67" spans="1:10" s="88" customFormat="1" ht="19.5" hidden="1" customHeight="1" outlineLevel="1">
      <c r="A67" s="84"/>
      <c r="B67" s="85" t="s">
        <v>171</v>
      </c>
      <c r="C67" s="84" t="s">
        <v>20</v>
      </c>
      <c r="D67" s="133">
        <v>3.8</v>
      </c>
      <c r="E67" s="133">
        <v>4</v>
      </c>
      <c r="F67" s="133">
        <v>4</v>
      </c>
      <c r="G67" s="133">
        <v>0.8</v>
      </c>
      <c r="H67" s="87">
        <f t="shared" si="23"/>
        <v>20</v>
      </c>
      <c r="I67" s="111"/>
    </row>
    <row r="68" spans="1:10" s="88" customFormat="1" ht="19.5" hidden="1" customHeight="1" outlineLevel="1">
      <c r="A68" s="84"/>
      <c r="B68" s="85" t="s">
        <v>172</v>
      </c>
      <c r="C68" s="84" t="s">
        <v>20</v>
      </c>
      <c r="D68" s="133"/>
      <c r="E68" s="133">
        <v>23.2</v>
      </c>
      <c r="F68" s="133">
        <v>24</v>
      </c>
      <c r="G68" s="133">
        <v>15.1</v>
      </c>
      <c r="H68" s="87">
        <f t="shared" si="23"/>
        <v>62.916666666666664</v>
      </c>
      <c r="I68" s="111"/>
    </row>
    <row r="69" spans="1:10" s="88" customFormat="1" ht="19.5" hidden="1" customHeight="1" outlineLevel="1">
      <c r="A69" s="84"/>
      <c r="B69" s="85" t="s">
        <v>249</v>
      </c>
      <c r="C69" s="84" t="s">
        <v>20</v>
      </c>
      <c r="D69" s="133"/>
      <c r="E69" s="133"/>
      <c r="F69" s="133"/>
      <c r="G69" s="133"/>
      <c r="H69" s="87" t="str">
        <f t="shared" si="23"/>
        <v/>
      </c>
      <c r="I69" s="111"/>
    </row>
    <row r="70" spans="1:10" ht="17.25" customHeight="1" collapsed="1">
      <c r="A70" s="21" t="s">
        <v>22</v>
      </c>
      <c r="B70" s="12" t="s">
        <v>52</v>
      </c>
      <c r="C70" s="8" t="s">
        <v>20</v>
      </c>
      <c r="D70" s="24">
        <f t="shared" ref="D70:G70" si="34">D71+D83+D84</f>
        <v>9814</v>
      </c>
      <c r="E70" s="24">
        <f t="shared" si="34"/>
        <v>10071.6</v>
      </c>
      <c r="F70" s="24">
        <f t="shared" si="34"/>
        <v>10122.1</v>
      </c>
      <c r="G70" s="24">
        <f t="shared" si="34"/>
        <v>10026.1</v>
      </c>
      <c r="H70" s="53">
        <f t="shared" si="23"/>
        <v>99.051580205688538</v>
      </c>
      <c r="I70" s="3"/>
    </row>
    <row r="71" spans="1:10" s="15" customFormat="1" ht="17.25" customHeight="1">
      <c r="A71" s="21">
        <v>1</v>
      </c>
      <c r="B71" s="20" t="s">
        <v>199</v>
      </c>
      <c r="C71" s="8" t="s">
        <v>20</v>
      </c>
      <c r="D71" s="24">
        <f t="shared" ref="D71:G71" si="35">D72+D77</f>
        <v>9537.2999999999993</v>
      </c>
      <c r="E71" s="24">
        <f t="shared" si="35"/>
        <v>9722.1</v>
      </c>
      <c r="F71" s="24">
        <f t="shared" si="35"/>
        <v>9772.1</v>
      </c>
      <c r="G71" s="24">
        <f t="shared" si="35"/>
        <v>9677.2000000000007</v>
      </c>
      <c r="H71" s="53">
        <f t="shared" si="23"/>
        <v>99.028867899427965</v>
      </c>
      <c r="I71" s="69"/>
    </row>
    <row r="72" spans="1:10" s="15" customFormat="1" ht="17.25" customHeight="1">
      <c r="A72" s="8" t="s">
        <v>17</v>
      </c>
      <c r="B72" s="12" t="s">
        <v>196</v>
      </c>
      <c r="C72" s="8" t="s">
        <v>20</v>
      </c>
      <c r="D72" s="13">
        <v>1743.8</v>
      </c>
      <c r="E72" s="13">
        <f>D72+E73</f>
        <v>1919.5</v>
      </c>
      <c r="F72" s="13">
        <f>E72+F73</f>
        <v>1969.5</v>
      </c>
      <c r="G72" s="13">
        <f>E72+G73</f>
        <v>1919.5</v>
      </c>
      <c r="H72" s="53">
        <f t="shared" si="23"/>
        <v>97.461284589997462</v>
      </c>
      <c r="I72" s="69"/>
    </row>
    <row r="73" spans="1:10" ht="17.25" customHeight="1">
      <c r="A73" s="1"/>
      <c r="B73" s="17" t="s">
        <v>53</v>
      </c>
      <c r="C73" s="1" t="s">
        <v>20</v>
      </c>
      <c r="D73" s="30">
        <v>185.9</v>
      </c>
      <c r="E73" s="30">
        <v>175.7</v>
      </c>
      <c r="F73" s="30">
        <v>50</v>
      </c>
      <c r="G73" s="30"/>
      <c r="H73" s="48">
        <f t="shared" si="23"/>
        <v>0</v>
      </c>
      <c r="I73" s="3"/>
    </row>
    <row r="74" spans="1:10" ht="17.25" customHeight="1">
      <c r="A74" s="1"/>
      <c r="B74" s="17" t="s">
        <v>54</v>
      </c>
      <c r="C74" s="1" t="s">
        <v>20</v>
      </c>
      <c r="D74" s="19">
        <v>1246</v>
      </c>
      <c r="E74" s="19">
        <v>1384</v>
      </c>
      <c r="F74" s="19">
        <v>1559</v>
      </c>
      <c r="G74" s="19"/>
      <c r="H74" s="48">
        <f t="shared" ref="H74:H89" si="36">IFERROR(G74/F74%,"")</f>
        <v>0</v>
      </c>
      <c r="I74" s="3"/>
      <c r="J74" s="67"/>
    </row>
    <row r="75" spans="1:10" ht="17.25" customHeight="1">
      <c r="A75" s="1"/>
      <c r="B75" s="17" t="s">
        <v>55</v>
      </c>
      <c r="C75" s="1" t="s">
        <v>6</v>
      </c>
      <c r="D75" s="30">
        <v>31.73</v>
      </c>
      <c r="E75" s="30">
        <v>35.65</v>
      </c>
      <c r="F75" s="30">
        <v>35</v>
      </c>
      <c r="G75" s="30"/>
      <c r="H75" s="48">
        <f t="shared" si="36"/>
        <v>0</v>
      </c>
      <c r="I75" s="3"/>
    </row>
    <row r="76" spans="1:10" ht="17.25" customHeight="1">
      <c r="A76" s="1"/>
      <c r="B76" s="17" t="s">
        <v>115</v>
      </c>
      <c r="C76" s="1" t="s">
        <v>47</v>
      </c>
      <c r="D76" s="19">
        <f t="shared" ref="D76:G76" si="37">D74*D75/10</f>
        <v>3953.558</v>
      </c>
      <c r="E76" s="19">
        <f t="shared" si="37"/>
        <v>4933.96</v>
      </c>
      <c r="F76" s="19">
        <f t="shared" si="37"/>
        <v>5456.5</v>
      </c>
      <c r="G76" s="66">
        <f t="shared" si="37"/>
        <v>0</v>
      </c>
      <c r="H76" s="48">
        <f t="shared" si="36"/>
        <v>0</v>
      </c>
      <c r="I76" s="3"/>
    </row>
    <row r="77" spans="1:10" s="15" customFormat="1" ht="17.25" customHeight="1">
      <c r="A77" s="8" t="s">
        <v>18</v>
      </c>
      <c r="B77" s="12" t="s">
        <v>197</v>
      </c>
      <c r="C77" s="8" t="s">
        <v>20</v>
      </c>
      <c r="D77" s="13">
        <v>7793.5</v>
      </c>
      <c r="E77" s="13">
        <f>D77+E78-E79</f>
        <v>7802.6</v>
      </c>
      <c r="F77" s="13">
        <f>E77+F78-F79</f>
        <v>7802.6</v>
      </c>
      <c r="G77" s="13">
        <f>E77+G78-G79</f>
        <v>7757.7000000000007</v>
      </c>
      <c r="H77" s="53">
        <f t="shared" si="36"/>
        <v>99.424550790762055</v>
      </c>
      <c r="I77" s="69"/>
    </row>
    <row r="78" spans="1:10" ht="17.25" customHeight="1">
      <c r="A78" s="1"/>
      <c r="B78" s="17" t="s">
        <v>53</v>
      </c>
      <c r="C78" s="1" t="s">
        <v>20</v>
      </c>
      <c r="D78" s="35">
        <v>0</v>
      </c>
      <c r="E78" s="25">
        <v>24.6</v>
      </c>
      <c r="F78" s="35"/>
      <c r="G78" s="35"/>
      <c r="H78" s="48" t="str">
        <f t="shared" si="36"/>
        <v/>
      </c>
      <c r="I78" s="3"/>
    </row>
    <row r="79" spans="1:10" ht="17.25" customHeight="1">
      <c r="A79" s="1"/>
      <c r="B79" s="17" t="s">
        <v>116</v>
      </c>
      <c r="C79" s="1" t="s">
        <v>20</v>
      </c>
      <c r="D79" s="25">
        <v>81.5</v>
      </c>
      <c r="E79" s="25">
        <v>15.5</v>
      </c>
      <c r="F79" s="35"/>
      <c r="G79" s="35">
        <v>44.9</v>
      </c>
      <c r="H79" s="48" t="str">
        <f t="shared" si="36"/>
        <v/>
      </c>
      <c r="I79" s="3"/>
    </row>
    <row r="80" spans="1:10" ht="17.25" customHeight="1">
      <c r="A80" s="1"/>
      <c r="B80" s="17" t="s">
        <v>54</v>
      </c>
      <c r="C80" s="1" t="s">
        <v>20</v>
      </c>
      <c r="D80" s="19">
        <v>4821</v>
      </c>
      <c r="E80" s="19">
        <v>5385</v>
      </c>
      <c r="F80" s="19">
        <v>5755</v>
      </c>
      <c r="G80" s="19"/>
      <c r="H80" s="48">
        <f t="shared" si="36"/>
        <v>0</v>
      </c>
      <c r="I80" s="3"/>
    </row>
    <row r="81" spans="1:11" ht="17.25" customHeight="1">
      <c r="A81" s="1"/>
      <c r="B81" s="17" t="s">
        <v>56</v>
      </c>
      <c r="C81" s="1" t="s">
        <v>6</v>
      </c>
      <c r="D81" s="30">
        <v>12.33</v>
      </c>
      <c r="E81" s="30">
        <v>12.35</v>
      </c>
      <c r="F81" s="30">
        <v>12.5</v>
      </c>
      <c r="G81" s="30"/>
      <c r="H81" s="48">
        <f t="shared" si="36"/>
        <v>0</v>
      </c>
      <c r="I81" s="3"/>
    </row>
    <row r="82" spans="1:11" ht="17.25" customHeight="1">
      <c r="A82" s="1"/>
      <c r="B82" s="17" t="s">
        <v>225</v>
      </c>
      <c r="C82" s="1" t="s">
        <v>47</v>
      </c>
      <c r="D82" s="19">
        <f t="shared" ref="D82:G82" si="38">D80*D81/10</f>
        <v>5944.2929999999997</v>
      </c>
      <c r="E82" s="19">
        <f t="shared" si="38"/>
        <v>6650.4750000000004</v>
      </c>
      <c r="F82" s="19">
        <f t="shared" si="38"/>
        <v>7193.75</v>
      </c>
      <c r="G82" s="66">
        <f t="shared" si="38"/>
        <v>0</v>
      </c>
      <c r="H82" s="48">
        <f t="shared" si="36"/>
        <v>0</v>
      </c>
      <c r="I82" s="3"/>
    </row>
    <row r="83" spans="1:11" s="15" customFormat="1" ht="17.25" customHeight="1">
      <c r="A83" s="8">
        <v>2</v>
      </c>
      <c r="B83" s="12" t="s">
        <v>78</v>
      </c>
      <c r="C83" s="8" t="s">
        <v>20</v>
      </c>
      <c r="D83" s="13">
        <v>155.19999999999999</v>
      </c>
      <c r="E83" s="13">
        <v>218.9</v>
      </c>
      <c r="F83" s="13">
        <v>220</v>
      </c>
      <c r="G83" s="13">
        <v>218.9</v>
      </c>
      <c r="H83" s="53">
        <f t="shared" si="36"/>
        <v>99.5</v>
      </c>
      <c r="I83" s="69"/>
    </row>
    <row r="84" spans="1:11" s="15" customFormat="1" ht="31.2">
      <c r="A84" s="8">
        <v>3</v>
      </c>
      <c r="B84" s="12" t="s">
        <v>178</v>
      </c>
      <c r="C84" s="8" t="s">
        <v>20</v>
      </c>
      <c r="D84" s="13">
        <f t="shared" ref="D84:F84" si="39">SUM(D85:D89)</f>
        <v>121.5</v>
      </c>
      <c r="E84" s="13">
        <f t="shared" si="39"/>
        <v>130.60000000000002</v>
      </c>
      <c r="F84" s="13">
        <f t="shared" si="39"/>
        <v>130</v>
      </c>
      <c r="G84" s="13">
        <v>130</v>
      </c>
      <c r="H84" s="53">
        <f t="shared" si="36"/>
        <v>100</v>
      </c>
      <c r="I84" s="69"/>
      <c r="J84" s="73"/>
      <c r="K84" s="73"/>
    </row>
    <row r="85" spans="1:11" s="88" customFormat="1" ht="17.25" hidden="1" customHeight="1" outlineLevel="1">
      <c r="A85" s="84"/>
      <c r="B85" s="85" t="s">
        <v>173</v>
      </c>
      <c r="C85" s="84" t="s">
        <v>20</v>
      </c>
      <c r="D85" s="132">
        <v>18.5</v>
      </c>
      <c r="E85" s="132">
        <v>17</v>
      </c>
      <c r="F85" s="132">
        <v>17</v>
      </c>
      <c r="G85" s="132"/>
      <c r="H85" s="106">
        <f t="shared" si="36"/>
        <v>0</v>
      </c>
      <c r="I85" s="111"/>
    </row>
    <row r="86" spans="1:11" s="88" customFormat="1" ht="17.25" hidden="1" customHeight="1" outlineLevel="1">
      <c r="A86" s="84"/>
      <c r="B86" s="85" t="s">
        <v>174</v>
      </c>
      <c r="C86" s="84" t="s">
        <v>20</v>
      </c>
      <c r="D86" s="132">
        <v>54.6</v>
      </c>
      <c r="E86" s="132">
        <v>61.9</v>
      </c>
      <c r="F86" s="132">
        <v>62</v>
      </c>
      <c r="G86" s="132"/>
      <c r="H86" s="106">
        <f t="shared" si="36"/>
        <v>0</v>
      </c>
      <c r="I86" s="111"/>
    </row>
    <row r="87" spans="1:11" s="88" customFormat="1" ht="17.25" hidden="1" customHeight="1" outlineLevel="1">
      <c r="A87" s="84"/>
      <c r="B87" s="85" t="s">
        <v>175</v>
      </c>
      <c r="C87" s="84" t="s">
        <v>20</v>
      </c>
      <c r="D87" s="132">
        <v>2</v>
      </c>
      <c r="E87" s="132">
        <v>2</v>
      </c>
      <c r="F87" s="132">
        <v>2</v>
      </c>
      <c r="G87" s="132"/>
      <c r="H87" s="106">
        <f t="shared" si="36"/>
        <v>0</v>
      </c>
      <c r="I87" s="111"/>
    </row>
    <row r="88" spans="1:11" s="88" customFormat="1" ht="17.25" hidden="1" customHeight="1" outlineLevel="1">
      <c r="A88" s="84"/>
      <c r="B88" s="85" t="s">
        <v>176</v>
      </c>
      <c r="C88" s="84" t="s">
        <v>20</v>
      </c>
      <c r="D88" s="132">
        <v>46.4</v>
      </c>
      <c r="E88" s="132">
        <v>30.4</v>
      </c>
      <c r="F88" s="132">
        <v>30</v>
      </c>
      <c r="G88" s="132"/>
      <c r="H88" s="106">
        <f t="shared" si="36"/>
        <v>0</v>
      </c>
      <c r="I88" s="111"/>
    </row>
    <row r="89" spans="1:11" s="88" customFormat="1" ht="17.25" hidden="1" customHeight="1" outlineLevel="1">
      <c r="A89" s="84"/>
      <c r="B89" s="85" t="s">
        <v>177</v>
      </c>
      <c r="C89" s="84" t="s">
        <v>20</v>
      </c>
      <c r="D89" s="132"/>
      <c r="E89" s="132">
        <v>19.3</v>
      </c>
      <c r="F89" s="132">
        <v>19</v>
      </c>
      <c r="G89" s="132"/>
      <c r="H89" s="106">
        <f t="shared" si="36"/>
        <v>0</v>
      </c>
      <c r="I89" s="111"/>
    </row>
    <row r="90" spans="1:11" s="88" customFormat="1" ht="17.25" hidden="1" customHeight="1" outlineLevel="1">
      <c r="A90" s="84"/>
      <c r="B90" s="85" t="s">
        <v>249</v>
      </c>
      <c r="C90" s="84" t="s">
        <v>20</v>
      </c>
      <c r="D90" s="132"/>
      <c r="E90" s="132"/>
      <c r="F90" s="132"/>
      <c r="G90" s="132"/>
      <c r="H90" s="106"/>
      <c r="I90" s="111"/>
    </row>
    <row r="91" spans="1:11" ht="18.75" customHeight="1" collapsed="1">
      <c r="A91" s="8" t="s">
        <v>25</v>
      </c>
      <c r="B91" s="12" t="s">
        <v>48</v>
      </c>
      <c r="C91" s="1"/>
      <c r="D91" s="25"/>
      <c r="E91" s="30"/>
      <c r="F91" s="30"/>
      <c r="G91" s="30"/>
      <c r="H91" s="53" t="str">
        <f t="shared" ref="H91:H104" si="40">IFERROR(G91/F91%,"")</f>
        <v/>
      </c>
      <c r="I91" s="3"/>
    </row>
    <row r="92" spans="1:11" s="15" customFormat="1" ht="18.75" customHeight="1">
      <c r="A92" s="8">
        <v>1</v>
      </c>
      <c r="B92" s="12" t="s">
        <v>198</v>
      </c>
      <c r="C92" s="8" t="s">
        <v>31</v>
      </c>
      <c r="D92" s="24">
        <f>SUM(D93:D95)</f>
        <v>20219</v>
      </c>
      <c r="E92" s="24">
        <f t="shared" ref="E92:G92" si="41">SUM(E93:E95)</f>
        <v>18350</v>
      </c>
      <c r="F92" s="24">
        <f t="shared" si="41"/>
        <v>20650</v>
      </c>
      <c r="G92" s="24">
        <f t="shared" si="41"/>
        <v>19857</v>
      </c>
      <c r="H92" s="53">
        <f t="shared" si="40"/>
        <v>96.15980629539952</v>
      </c>
      <c r="I92" s="69"/>
    </row>
    <row r="93" spans="1:11" ht="18.75" customHeight="1">
      <c r="A93" s="1"/>
      <c r="B93" s="17" t="s">
        <v>117</v>
      </c>
      <c r="C93" s="1" t="s">
        <v>31</v>
      </c>
      <c r="D93" s="26">
        <v>2461</v>
      </c>
      <c r="E93" s="26">
        <v>2550</v>
      </c>
      <c r="F93" s="26">
        <v>2650</v>
      </c>
      <c r="G93" s="26">
        <v>2534</v>
      </c>
      <c r="H93" s="48">
        <f t="shared" si="40"/>
        <v>95.622641509433961</v>
      </c>
      <c r="I93" s="3"/>
    </row>
    <row r="94" spans="1:11" ht="18.75" customHeight="1">
      <c r="A94" s="1"/>
      <c r="B94" s="17" t="s">
        <v>118</v>
      </c>
      <c r="C94" s="1" t="s">
        <v>31</v>
      </c>
      <c r="D94" s="26">
        <v>4034</v>
      </c>
      <c r="E94" s="26">
        <v>4800</v>
      </c>
      <c r="F94" s="26">
        <v>5000</v>
      </c>
      <c r="G94" s="26">
        <v>4761</v>
      </c>
      <c r="H94" s="48">
        <f t="shared" si="40"/>
        <v>95.22</v>
      </c>
      <c r="I94" s="3"/>
    </row>
    <row r="95" spans="1:11" ht="18.75" customHeight="1">
      <c r="A95" s="1"/>
      <c r="B95" s="17" t="s">
        <v>119</v>
      </c>
      <c r="C95" s="1" t="s">
        <v>31</v>
      </c>
      <c r="D95" s="26">
        <v>13724</v>
      </c>
      <c r="E95" s="26">
        <v>11000</v>
      </c>
      <c r="F95" s="26">
        <v>13000</v>
      </c>
      <c r="G95" s="26">
        <v>12562</v>
      </c>
      <c r="H95" s="48">
        <f t="shared" si="40"/>
        <v>96.630769230769232</v>
      </c>
      <c r="I95" s="3"/>
    </row>
    <row r="96" spans="1:11" s="15" customFormat="1" ht="18.75" customHeight="1">
      <c r="A96" s="8">
        <v>2</v>
      </c>
      <c r="B96" s="36" t="s">
        <v>15</v>
      </c>
      <c r="C96" s="8" t="s">
        <v>31</v>
      </c>
      <c r="D96" s="24">
        <v>77894</v>
      </c>
      <c r="E96" s="24">
        <v>87000</v>
      </c>
      <c r="F96" s="24">
        <v>87000</v>
      </c>
      <c r="G96" s="24">
        <v>74830</v>
      </c>
      <c r="H96" s="53">
        <f t="shared" si="40"/>
        <v>86.011494252873561</v>
      </c>
      <c r="I96" s="69"/>
    </row>
    <row r="97" spans="1:11" s="15" customFormat="1" ht="18.75" customHeight="1">
      <c r="A97" s="8" t="s">
        <v>26</v>
      </c>
      <c r="B97" s="36" t="s">
        <v>120</v>
      </c>
      <c r="C97" s="8"/>
      <c r="D97" s="24"/>
      <c r="E97" s="24"/>
      <c r="F97" s="24"/>
      <c r="G97" s="24"/>
      <c r="H97" s="53" t="str">
        <f t="shared" si="40"/>
        <v/>
      </c>
      <c r="I97" s="69"/>
    </row>
    <row r="98" spans="1:11" ht="18.75" customHeight="1">
      <c r="A98" s="1">
        <v>1</v>
      </c>
      <c r="B98" s="29" t="s">
        <v>121</v>
      </c>
      <c r="C98" s="1" t="s">
        <v>20</v>
      </c>
      <c r="D98" s="25">
        <v>85</v>
      </c>
      <c r="E98" s="25">
        <v>85.5</v>
      </c>
      <c r="F98" s="25">
        <v>85.5</v>
      </c>
      <c r="G98" s="25">
        <v>86.1</v>
      </c>
      <c r="H98" s="48">
        <f t="shared" si="40"/>
        <v>100.7017543859649</v>
      </c>
      <c r="I98" s="3"/>
    </row>
    <row r="99" spans="1:11" ht="18.75" customHeight="1">
      <c r="A99" s="1">
        <v>2</v>
      </c>
      <c r="B99" s="29" t="s">
        <v>122</v>
      </c>
      <c r="C99" s="1" t="s">
        <v>47</v>
      </c>
      <c r="D99" s="26">
        <f t="shared" ref="D99:G99" si="42">D100+D101</f>
        <v>427.4</v>
      </c>
      <c r="E99" s="26">
        <f t="shared" si="42"/>
        <v>320</v>
      </c>
      <c r="F99" s="26">
        <f t="shared" si="42"/>
        <v>335</v>
      </c>
      <c r="G99" s="26">
        <f t="shared" si="42"/>
        <v>73.300000000000011</v>
      </c>
      <c r="H99" s="48">
        <f t="shared" si="40"/>
        <v>21.880597014925375</v>
      </c>
      <c r="I99" s="3"/>
    </row>
    <row r="100" spans="1:11" ht="18.75" customHeight="1">
      <c r="A100" s="1"/>
      <c r="B100" s="38" t="s">
        <v>123</v>
      </c>
      <c r="C100" s="1" t="s">
        <v>47</v>
      </c>
      <c r="D100" s="26">
        <v>211.9</v>
      </c>
      <c r="E100" s="26">
        <v>210</v>
      </c>
      <c r="F100" s="26">
        <v>210</v>
      </c>
      <c r="G100" s="26">
        <v>53.2</v>
      </c>
      <c r="H100" s="48">
        <f t="shared" si="40"/>
        <v>25.333333333333332</v>
      </c>
      <c r="I100" s="3"/>
    </row>
    <row r="101" spans="1:11" ht="18.75" customHeight="1">
      <c r="A101" s="1"/>
      <c r="B101" s="38" t="s">
        <v>124</v>
      </c>
      <c r="C101" s="1" t="s">
        <v>47</v>
      </c>
      <c r="D101" s="26">
        <v>215.5</v>
      </c>
      <c r="E101" s="26">
        <v>110</v>
      </c>
      <c r="F101" s="26">
        <v>125</v>
      </c>
      <c r="G101" s="26">
        <f>17.5+2.6</f>
        <v>20.100000000000001</v>
      </c>
      <c r="H101" s="48">
        <f t="shared" si="40"/>
        <v>16.080000000000002</v>
      </c>
      <c r="I101" s="3"/>
    </row>
    <row r="102" spans="1:11">
      <c r="A102" s="39" t="s">
        <v>28</v>
      </c>
      <c r="B102" s="40" t="s">
        <v>49</v>
      </c>
      <c r="C102" s="39"/>
      <c r="D102" s="10"/>
      <c r="E102" s="10"/>
      <c r="F102" s="10"/>
      <c r="G102" s="10"/>
      <c r="H102" s="53" t="str">
        <f t="shared" si="40"/>
        <v/>
      </c>
      <c r="I102" s="3"/>
    </row>
    <row r="103" spans="1:11" ht="19.5" customHeight="1">
      <c r="A103" s="145">
        <v>1</v>
      </c>
      <c r="B103" s="42" t="s">
        <v>252</v>
      </c>
      <c r="C103" s="1" t="s">
        <v>20</v>
      </c>
      <c r="D103" s="43">
        <v>500.3</v>
      </c>
      <c r="E103" s="43">
        <v>4</v>
      </c>
      <c r="F103" s="43"/>
      <c r="G103" s="43"/>
      <c r="H103" s="53" t="str">
        <f t="shared" si="40"/>
        <v/>
      </c>
      <c r="I103" s="3"/>
    </row>
    <row r="104" spans="1:11" s="34" customFormat="1" ht="19.5" customHeight="1">
      <c r="A104" s="142"/>
      <c r="B104" s="143" t="s">
        <v>53</v>
      </c>
      <c r="C104" s="31" t="s">
        <v>20</v>
      </c>
      <c r="D104" s="144">
        <v>500.3</v>
      </c>
      <c r="E104" s="144">
        <v>4</v>
      </c>
      <c r="F104" s="144"/>
      <c r="G104" s="144"/>
      <c r="H104" s="134" t="str">
        <f t="shared" si="40"/>
        <v/>
      </c>
      <c r="I104" s="70"/>
    </row>
    <row r="105" spans="1:11" ht="17.25" customHeight="1">
      <c r="A105" s="1">
        <v>2</v>
      </c>
      <c r="B105" s="17" t="s">
        <v>14</v>
      </c>
      <c r="C105" s="1" t="s">
        <v>20</v>
      </c>
      <c r="D105" s="19">
        <v>1646</v>
      </c>
      <c r="E105" s="19">
        <f>D105+E106</f>
        <v>1675</v>
      </c>
      <c r="F105" s="19">
        <f>E105+F106</f>
        <v>1710</v>
      </c>
      <c r="G105" s="19">
        <f>F105</f>
        <v>1710</v>
      </c>
      <c r="H105" s="48">
        <f t="shared" ref="H105:H117" si="43">IFERROR(G105/F105%,"")</f>
        <v>99.999999999999986</v>
      </c>
      <c r="I105" s="3"/>
      <c r="J105" s="67"/>
    </row>
    <row r="106" spans="1:11" ht="17.25" customHeight="1">
      <c r="A106" s="1"/>
      <c r="B106" s="17" t="s">
        <v>53</v>
      </c>
      <c r="C106" s="1" t="s">
        <v>20</v>
      </c>
      <c r="D106" s="19">
        <v>57.2</v>
      </c>
      <c r="E106" s="19">
        <v>29</v>
      </c>
      <c r="F106" s="19">
        <v>35</v>
      </c>
      <c r="G106" s="19">
        <f>F106</f>
        <v>35</v>
      </c>
      <c r="H106" s="48">
        <f t="shared" si="43"/>
        <v>100</v>
      </c>
      <c r="I106" s="3"/>
    </row>
    <row r="107" spans="1:11" s="15" customFormat="1" ht="21.75" customHeight="1">
      <c r="A107" s="90" t="s">
        <v>76</v>
      </c>
      <c r="B107" s="107" t="s">
        <v>80</v>
      </c>
      <c r="C107" s="90"/>
      <c r="D107" s="108"/>
      <c r="E107" s="108"/>
      <c r="F107" s="108"/>
      <c r="G107" s="108"/>
      <c r="H107" s="94" t="str">
        <f t="shared" si="43"/>
        <v/>
      </c>
      <c r="I107" s="94"/>
    </row>
    <row r="108" spans="1:11" s="15" customFormat="1" ht="22.5" customHeight="1">
      <c r="A108" s="8">
        <v>1</v>
      </c>
      <c r="B108" s="44" t="s">
        <v>200</v>
      </c>
      <c r="C108" s="8" t="s">
        <v>126</v>
      </c>
      <c r="D108" s="24">
        <v>676693</v>
      </c>
      <c r="E108" s="24">
        <v>708000</v>
      </c>
      <c r="F108" s="24">
        <v>722000</v>
      </c>
      <c r="G108" s="24"/>
      <c r="H108" s="53">
        <f t="shared" si="43"/>
        <v>0</v>
      </c>
      <c r="I108" s="69"/>
      <c r="K108" s="149"/>
    </row>
    <row r="109" spans="1:11" s="15" customFormat="1" ht="20.25" customHeight="1">
      <c r="A109" s="8">
        <v>2</v>
      </c>
      <c r="B109" s="12" t="s">
        <v>128</v>
      </c>
      <c r="C109" s="8"/>
      <c r="D109" s="126"/>
      <c r="E109" s="126"/>
      <c r="F109" s="126"/>
      <c r="G109" s="126"/>
      <c r="H109" s="53" t="str">
        <f t="shared" si="43"/>
        <v/>
      </c>
      <c r="I109" s="69"/>
    </row>
    <row r="110" spans="1:11" ht="20.25" customHeight="1">
      <c r="A110" s="1"/>
      <c r="B110" s="17" t="s">
        <v>129</v>
      </c>
      <c r="C110" s="1" t="s">
        <v>40</v>
      </c>
      <c r="D110" s="26">
        <v>40</v>
      </c>
      <c r="E110" s="26">
        <v>42</v>
      </c>
      <c r="F110" s="26">
        <v>40</v>
      </c>
      <c r="G110" s="26"/>
      <c r="H110" s="48">
        <f t="shared" si="43"/>
        <v>0</v>
      </c>
      <c r="I110" s="3"/>
    </row>
    <row r="111" spans="1:11" ht="20.25" customHeight="1">
      <c r="A111" s="1"/>
      <c r="B111" s="17" t="s">
        <v>135</v>
      </c>
      <c r="C111" s="1" t="s">
        <v>40</v>
      </c>
      <c r="D111" s="26">
        <v>35</v>
      </c>
      <c r="E111" s="26">
        <v>30</v>
      </c>
      <c r="F111" s="26">
        <v>40</v>
      </c>
      <c r="G111" s="26"/>
      <c r="H111" s="48">
        <f t="shared" si="43"/>
        <v>0</v>
      </c>
      <c r="I111" s="3"/>
    </row>
    <row r="112" spans="1:11" ht="20.25" customHeight="1">
      <c r="A112" s="1"/>
      <c r="B112" s="17" t="s">
        <v>130</v>
      </c>
      <c r="C112" s="1" t="s">
        <v>47</v>
      </c>
      <c r="D112" s="26">
        <v>57219</v>
      </c>
      <c r="E112" s="26">
        <v>60000</v>
      </c>
      <c r="F112" s="26">
        <v>55000</v>
      </c>
      <c r="G112" s="26"/>
      <c r="H112" s="48">
        <f t="shared" si="43"/>
        <v>0</v>
      </c>
      <c r="I112" s="3"/>
    </row>
    <row r="113" spans="1:11" ht="20.25" customHeight="1">
      <c r="A113" s="1"/>
      <c r="B113" s="17" t="s">
        <v>131</v>
      </c>
      <c r="C113" s="1" t="s">
        <v>47</v>
      </c>
      <c r="D113" s="26">
        <v>12363</v>
      </c>
      <c r="E113" s="26">
        <v>13000</v>
      </c>
      <c r="F113" s="26">
        <v>12000</v>
      </c>
      <c r="G113" s="26"/>
      <c r="H113" s="48">
        <f t="shared" si="43"/>
        <v>0</v>
      </c>
      <c r="I113" s="3"/>
    </row>
    <row r="114" spans="1:11" ht="20.25" customHeight="1">
      <c r="A114" s="1"/>
      <c r="B114" s="17" t="s">
        <v>132</v>
      </c>
      <c r="C114" s="1" t="s">
        <v>217</v>
      </c>
      <c r="D114" s="26">
        <v>39713</v>
      </c>
      <c r="E114" s="26">
        <v>41000</v>
      </c>
      <c r="F114" s="26">
        <v>60000</v>
      </c>
      <c r="G114" s="26"/>
      <c r="H114" s="48">
        <f t="shared" si="43"/>
        <v>0</v>
      </c>
      <c r="I114" s="3"/>
    </row>
    <row r="115" spans="1:11" ht="20.25" customHeight="1">
      <c r="A115" s="1"/>
      <c r="B115" s="17" t="s">
        <v>133</v>
      </c>
      <c r="C115" s="1" t="s">
        <v>217</v>
      </c>
      <c r="D115" s="26">
        <v>34500</v>
      </c>
      <c r="E115" s="26">
        <v>35000</v>
      </c>
      <c r="F115" s="26">
        <v>54000</v>
      </c>
      <c r="G115" s="26"/>
      <c r="H115" s="48">
        <f t="shared" si="43"/>
        <v>0</v>
      </c>
      <c r="I115" s="3"/>
    </row>
    <row r="116" spans="1:11" s="15" customFormat="1">
      <c r="A116" s="90" t="s">
        <v>79</v>
      </c>
      <c r="B116" s="95" t="s">
        <v>201</v>
      </c>
      <c r="C116" s="90"/>
      <c r="D116" s="109"/>
      <c r="E116" s="109"/>
      <c r="F116" s="109"/>
      <c r="G116" s="109"/>
      <c r="H116" s="94" t="str">
        <f t="shared" si="43"/>
        <v/>
      </c>
      <c r="I116" s="94"/>
    </row>
    <row r="117" spans="1:11" ht="22.5" customHeight="1">
      <c r="A117" s="1">
        <v>1</v>
      </c>
      <c r="B117" s="17" t="s">
        <v>81</v>
      </c>
      <c r="C117" s="1" t="s">
        <v>126</v>
      </c>
      <c r="D117" s="26">
        <v>560310</v>
      </c>
      <c r="E117" s="26">
        <v>595000</v>
      </c>
      <c r="F117" s="26">
        <v>696000</v>
      </c>
      <c r="G117" s="26"/>
      <c r="H117" s="48">
        <f t="shared" si="43"/>
        <v>0</v>
      </c>
      <c r="I117" s="3"/>
    </row>
    <row r="118" spans="1:11" s="15" customFormat="1" ht="22.5" hidden="1" customHeight="1" outlineLevel="1">
      <c r="A118" s="8">
        <v>2</v>
      </c>
      <c r="B118" s="44" t="s">
        <v>240</v>
      </c>
      <c r="C118" s="1"/>
      <c r="D118" s="24"/>
      <c r="E118" s="24"/>
      <c r="F118" s="24"/>
      <c r="G118" s="24"/>
      <c r="H118" s="53"/>
      <c r="I118" s="69"/>
    </row>
    <row r="119" spans="1:11" ht="22.5" hidden="1" customHeight="1" outlineLevel="1">
      <c r="A119" s="1"/>
      <c r="B119" s="38" t="s">
        <v>241</v>
      </c>
      <c r="C119" s="1" t="s">
        <v>245</v>
      </c>
      <c r="D119" s="26"/>
      <c r="E119" s="26"/>
      <c r="F119" s="26"/>
      <c r="G119" s="26"/>
      <c r="H119" s="48" t="str">
        <f t="shared" ref="H119:H147" si="44">IFERROR(G119/F119%,"")</f>
        <v/>
      </c>
      <c r="I119" s="3"/>
    </row>
    <row r="120" spans="1:11" ht="22.5" hidden="1" customHeight="1" outlineLevel="1">
      <c r="A120" s="1"/>
      <c r="B120" s="38" t="s">
        <v>242</v>
      </c>
      <c r="C120" s="1" t="s">
        <v>27</v>
      </c>
      <c r="D120" s="26"/>
      <c r="E120" s="26"/>
      <c r="F120" s="26"/>
      <c r="G120" s="26"/>
      <c r="H120" s="48" t="str">
        <f t="shared" si="44"/>
        <v/>
      </c>
      <c r="I120" s="3"/>
    </row>
    <row r="121" spans="1:11" ht="22.5" hidden="1" customHeight="1" outlineLevel="1">
      <c r="A121" s="1"/>
      <c r="B121" s="38" t="s">
        <v>243</v>
      </c>
      <c r="C121" s="1" t="s">
        <v>126</v>
      </c>
      <c r="D121" s="26"/>
      <c r="E121" s="26"/>
      <c r="F121" s="26"/>
      <c r="G121" s="26"/>
      <c r="H121" s="48" t="str">
        <f t="shared" si="44"/>
        <v/>
      </c>
      <c r="I121" s="3"/>
    </row>
    <row r="122" spans="1:11" ht="22.5" hidden="1" customHeight="1" outlineLevel="1">
      <c r="A122" s="1"/>
      <c r="B122" s="38" t="s">
        <v>244</v>
      </c>
      <c r="C122" s="1" t="s">
        <v>16</v>
      </c>
      <c r="D122" s="26"/>
      <c r="E122" s="26"/>
      <c r="F122" s="26"/>
      <c r="G122" s="26"/>
      <c r="H122" s="48" t="str">
        <f t="shared" si="44"/>
        <v/>
      </c>
      <c r="I122" s="3"/>
    </row>
    <row r="123" spans="1:11" ht="22.5" customHeight="1" collapsed="1">
      <c r="A123" s="84"/>
      <c r="B123" s="105" t="s">
        <v>205</v>
      </c>
      <c r="C123" s="84"/>
      <c r="D123" s="86"/>
      <c r="E123" s="86"/>
      <c r="F123" s="86"/>
      <c r="G123" s="86"/>
      <c r="H123" s="106" t="str">
        <f t="shared" si="44"/>
        <v/>
      </c>
      <c r="I123" s="3"/>
    </row>
    <row r="124" spans="1:11" s="15" customFormat="1" ht="22.5" customHeight="1">
      <c r="A124" s="90" t="s">
        <v>21</v>
      </c>
      <c r="B124" s="95" t="s">
        <v>147</v>
      </c>
      <c r="C124" s="90"/>
      <c r="D124" s="108"/>
      <c r="E124" s="108"/>
      <c r="F124" s="108"/>
      <c r="G124" s="108"/>
      <c r="H124" s="94" t="str">
        <f t="shared" si="44"/>
        <v/>
      </c>
      <c r="I124" s="112"/>
    </row>
    <row r="125" spans="1:11" s="88" customFormat="1" ht="22.5" hidden="1" customHeight="1" outlineLevel="1">
      <c r="A125" s="84">
        <v>1</v>
      </c>
      <c r="B125" s="85" t="s">
        <v>148</v>
      </c>
      <c r="C125" s="84" t="s">
        <v>38</v>
      </c>
      <c r="D125" s="130">
        <v>10520</v>
      </c>
      <c r="E125" s="130">
        <f>D126</f>
        <v>10685</v>
      </c>
      <c r="F125" s="130">
        <f>E126</f>
        <v>11120</v>
      </c>
      <c r="G125" s="130"/>
      <c r="H125" s="106">
        <f t="shared" si="44"/>
        <v>0</v>
      </c>
      <c r="I125" s="111"/>
      <c r="K125" s="131"/>
    </row>
    <row r="126" spans="1:11" s="88" customFormat="1" ht="22.5" hidden="1" customHeight="1" outlineLevel="1">
      <c r="A126" s="84">
        <v>2</v>
      </c>
      <c r="B126" s="85" t="s">
        <v>101</v>
      </c>
      <c r="C126" s="84" t="s">
        <v>38</v>
      </c>
      <c r="D126" s="130">
        <v>10685</v>
      </c>
      <c r="E126" s="130">
        <v>11120</v>
      </c>
      <c r="F126" s="130">
        <v>11380</v>
      </c>
      <c r="G126" s="130"/>
      <c r="H126" s="106">
        <f t="shared" si="44"/>
        <v>0</v>
      </c>
      <c r="I126" s="111"/>
      <c r="J126" s="131"/>
    </row>
    <row r="127" spans="1:11" ht="22.5" customHeight="1" collapsed="1">
      <c r="A127" s="1">
        <v>1</v>
      </c>
      <c r="B127" s="17" t="s">
        <v>58</v>
      </c>
      <c r="C127" s="1" t="s">
        <v>45</v>
      </c>
      <c r="D127" s="26">
        <v>44006</v>
      </c>
      <c r="E127" s="26">
        <f>D128</f>
        <v>45290</v>
      </c>
      <c r="F127" s="26">
        <f>E128</f>
        <v>46404</v>
      </c>
      <c r="G127" s="26"/>
      <c r="H127" s="48">
        <f t="shared" si="44"/>
        <v>0</v>
      </c>
      <c r="I127" s="3"/>
    </row>
    <row r="128" spans="1:11" ht="22.5" customHeight="1">
      <c r="A128" s="1">
        <v>2</v>
      </c>
      <c r="B128" s="17" t="s">
        <v>59</v>
      </c>
      <c r="C128" s="1" t="s">
        <v>45</v>
      </c>
      <c r="D128" s="26">
        <v>45290</v>
      </c>
      <c r="E128" s="26">
        <v>46404</v>
      </c>
      <c r="F128" s="26">
        <v>47500</v>
      </c>
      <c r="G128" s="26"/>
      <c r="H128" s="48">
        <f t="shared" si="44"/>
        <v>0</v>
      </c>
      <c r="I128" s="3"/>
    </row>
    <row r="129" spans="1:10" ht="22.5" customHeight="1">
      <c r="A129" s="1">
        <v>3</v>
      </c>
      <c r="B129" s="17" t="s">
        <v>134</v>
      </c>
      <c r="C129" s="1" t="s">
        <v>45</v>
      </c>
      <c r="D129" s="26">
        <f t="shared" ref="D129:F129" si="45">(D127+D128)/2</f>
        <v>44648</v>
      </c>
      <c r="E129" s="26">
        <f t="shared" si="45"/>
        <v>45847</v>
      </c>
      <c r="F129" s="26">
        <f t="shared" si="45"/>
        <v>46952</v>
      </c>
      <c r="G129" s="26"/>
      <c r="H129" s="48">
        <f t="shared" si="44"/>
        <v>0</v>
      </c>
      <c r="I129" s="3"/>
    </row>
    <row r="130" spans="1:10" ht="22.5" customHeight="1">
      <c r="A130" s="1">
        <v>4</v>
      </c>
      <c r="B130" s="38" t="s">
        <v>160</v>
      </c>
      <c r="C130" s="18" t="s">
        <v>70</v>
      </c>
      <c r="D130" s="61">
        <v>22.62</v>
      </c>
      <c r="E130" s="61">
        <v>22.92</v>
      </c>
      <c r="F130" s="61">
        <v>22</v>
      </c>
      <c r="G130" s="61"/>
      <c r="H130" s="53">
        <f t="shared" si="44"/>
        <v>0</v>
      </c>
      <c r="I130" s="3"/>
    </row>
    <row r="131" spans="1:10" s="15" customFormat="1" ht="21" customHeight="1">
      <c r="A131" s="90" t="s">
        <v>22</v>
      </c>
      <c r="B131" s="95" t="s">
        <v>66</v>
      </c>
      <c r="C131" s="90"/>
      <c r="D131" s="113"/>
      <c r="E131" s="113"/>
      <c r="F131" s="113"/>
      <c r="G131" s="113"/>
      <c r="H131" s="94" t="str">
        <f t="shared" si="44"/>
        <v/>
      </c>
      <c r="I131" s="112"/>
    </row>
    <row r="132" spans="1:10" ht="21" customHeight="1">
      <c r="A132" s="1">
        <v>1</v>
      </c>
      <c r="B132" s="17" t="s">
        <v>161</v>
      </c>
      <c r="C132" s="1" t="s">
        <v>16</v>
      </c>
      <c r="D132" s="48">
        <v>42.86</v>
      </c>
      <c r="E132" s="48">
        <v>43</v>
      </c>
      <c r="F132" s="48">
        <v>44</v>
      </c>
      <c r="G132" s="48"/>
      <c r="H132" s="48">
        <f t="shared" si="44"/>
        <v>0</v>
      </c>
      <c r="I132" s="3"/>
    </row>
    <row r="133" spans="1:10" ht="27.75" customHeight="1">
      <c r="A133" s="1"/>
      <c r="B133" s="17" t="s">
        <v>162</v>
      </c>
      <c r="C133" s="1" t="s">
        <v>16</v>
      </c>
      <c r="D133" s="48">
        <v>32</v>
      </c>
      <c r="E133" s="48">
        <v>35</v>
      </c>
      <c r="F133" s="48">
        <v>36</v>
      </c>
      <c r="G133" s="48"/>
      <c r="H133" s="48">
        <f t="shared" si="44"/>
        <v>0</v>
      </c>
      <c r="I133" s="3"/>
    </row>
    <row r="134" spans="1:10" ht="46.8">
      <c r="A134" s="1">
        <v>2</v>
      </c>
      <c r="B134" s="17" t="s">
        <v>152</v>
      </c>
      <c r="C134" s="1" t="s">
        <v>51</v>
      </c>
      <c r="D134" s="49">
        <f>174+50</f>
        <v>224</v>
      </c>
      <c r="E134" s="49">
        <v>175</v>
      </c>
      <c r="F134" s="49">
        <v>250</v>
      </c>
      <c r="G134" s="49">
        <v>200</v>
      </c>
      <c r="H134" s="48">
        <f t="shared" si="44"/>
        <v>80</v>
      </c>
      <c r="I134" s="3"/>
    </row>
    <row r="135" spans="1:10" ht="32.25" customHeight="1">
      <c r="A135" s="1"/>
      <c r="B135" s="17" t="s">
        <v>164</v>
      </c>
      <c r="C135" s="1" t="s">
        <v>165</v>
      </c>
      <c r="D135" s="17">
        <v>111</v>
      </c>
      <c r="E135" s="17">
        <v>115</v>
      </c>
      <c r="F135" s="17">
        <v>120</v>
      </c>
      <c r="G135" s="17"/>
      <c r="H135" s="48">
        <f t="shared" si="44"/>
        <v>0</v>
      </c>
      <c r="I135" s="3"/>
    </row>
    <row r="136" spans="1:10" ht="21" customHeight="1">
      <c r="A136" s="90" t="s">
        <v>263</v>
      </c>
      <c r="B136" s="95" t="s">
        <v>108</v>
      </c>
      <c r="C136" s="114"/>
      <c r="D136" s="115"/>
      <c r="E136" s="115"/>
      <c r="F136" s="115"/>
      <c r="G136" s="115"/>
      <c r="H136" s="94" t="str">
        <f t="shared" si="44"/>
        <v/>
      </c>
      <c r="I136" s="116"/>
    </row>
    <row r="137" spans="1:10" ht="37.5" customHeight="1">
      <c r="A137" s="50">
        <v>1</v>
      </c>
      <c r="B137" s="51" t="s">
        <v>150</v>
      </c>
      <c r="C137" s="1" t="s">
        <v>16</v>
      </c>
      <c r="D137" s="54" t="s">
        <v>153</v>
      </c>
      <c r="E137" s="74">
        <f>D138-E138</f>
        <v>3.1799999999999997</v>
      </c>
      <c r="F137" s="54" t="s">
        <v>156</v>
      </c>
      <c r="G137" s="74"/>
      <c r="H137" s="53" t="str">
        <f t="shared" si="44"/>
        <v/>
      </c>
      <c r="I137" s="3"/>
    </row>
    <row r="138" spans="1:10" ht="25.5" customHeight="1">
      <c r="A138" s="50">
        <v>2</v>
      </c>
      <c r="B138" s="51" t="s">
        <v>163</v>
      </c>
      <c r="C138" s="1" t="s">
        <v>16</v>
      </c>
      <c r="D138" s="66">
        <v>17.32</v>
      </c>
      <c r="E138" s="66">
        <v>14.14</v>
      </c>
      <c r="F138" s="66">
        <f>E138-3</f>
        <v>11.14</v>
      </c>
      <c r="G138" s="66"/>
      <c r="H138" s="48">
        <f t="shared" si="44"/>
        <v>0</v>
      </c>
      <c r="I138" s="3"/>
      <c r="J138" s="75"/>
    </row>
    <row r="139" spans="1:10" s="15" customFormat="1" ht="20.25" customHeight="1">
      <c r="A139" s="90" t="s">
        <v>26</v>
      </c>
      <c r="B139" s="95" t="s">
        <v>0</v>
      </c>
      <c r="C139" s="90"/>
      <c r="D139" s="108"/>
      <c r="E139" s="108"/>
      <c r="F139" s="108"/>
      <c r="G139" s="108"/>
      <c r="H139" s="94" t="str">
        <f t="shared" si="44"/>
        <v/>
      </c>
      <c r="I139" s="112"/>
    </row>
    <row r="140" spans="1:10" s="15" customFormat="1" ht="31.5" customHeight="1">
      <c r="A140" s="8">
        <v>1</v>
      </c>
      <c r="B140" s="12" t="s">
        <v>257</v>
      </c>
      <c r="C140" s="8" t="s">
        <v>1</v>
      </c>
      <c r="D140" s="24">
        <f>SUM(D141:D147)</f>
        <v>13999</v>
      </c>
      <c r="E140" s="24">
        <f>SUM(E141:E147)</f>
        <v>14102</v>
      </c>
      <c r="F140" s="24">
        <f>F141+F145+F146+F147</f>
        <v>14530</v>
      </c>
      <c r="G140" s="24">
        <f>G141+G145+G146+G147</f>
        <v>14407</v>
      </c>
      <c r="H140" s="53">
        <f t="shared" si="44"/>
        <v>99.153475567790764</v>
      </c>
      <c r="I140" s="69"/>
    </row>
    <row r="141" spans="1:10" ht="21" customHeight="1">
      <c r="A141" s="1"/>
      <c r="B141" s="17" t="s">
        <v>83</v>
      </c>
      <c r="C141" s="1" t="s">
        <v>1</v>
      </c>
      <c r="D141" s="76">
        <v>4325</v>
      </c>
      <c r="E141" s="76">
        <v>4401</v>
      </c>
      <c r="F141" s="76">
        <f>F142+F144</f>
        <v>4430</v>
      </c>
      <c r="G141" s="76">
        <f>G142+G144</f>
        <v>4527</v>
      </c>
      <c r="H141" s="48">
        <f t="shared" si="44"/>
        <v>102.18961625282168</v>
      </c>
      <c r="I141" s="3"/>
      <c r="J141" s="67"/>
    </row>
    <row r="142" spans="1:10" s="34" customFormat="1" ht="21" hidden="1" customHeight="1" outlineLevel="1">
      <c r="A142" s="31"/>
      <c r="B142" s="27" t="s">
        <v>167</v>
      </c>
      <c r="C142" s="1" t="s">
        <v>2</v>
      </c>
      <c r="D142" s="77"/>
      <c r="E142" s="77"/>
      <c r="F142" s="77">
        <v>450</v>
      </c>
      <c r="G142" s="77">
        <v>398</v>
      </c>
      <c r="H142" s="48">
        <f t="shared" si="44"/>
        <v>88.444444444444443</v>
      </c>
      <c r="I142" s="70"/>
      <c r="J142" s="68"/>
    </row>
    <row r="143" spans="1:10" s="34" customFormat="1" ht="21" hidden="1" customHeight="1" outlineLevel="1">
      <c r="A143" s="31"/>
      <c r="B143" s="27" t="s">
        <v>187</v>
      </c>
      <c r="C143" s="1" t="s">
        <v>2</v>
      </c>
      <c r="D143" s="77"/>
      <c r="E143" s="77"/>
      <c r="F143" s="77">
        <v>350</v>
      </c>
      <c r="G143" s="77"/>
      <c r="H143" s="48">
        <f t="shared" si="44"/>
        <v>0</v>
      </c>
      <c r="I143" s="70"/>
      <c r="J143" s="68"/>
    </row>
    <row r="144" spans="1:10" s="34" customFormat="1" ht="21" hidden="1" customHeight="1" outlineLevel="1">
      <c r="A144" s="31"/>
      <c r="B144" s="27" t="s">
        <v>85</v>
      </c>
      <c r="C144" s="1" t="s">
        <v>2</v>
      </c>
      <c r="D144" s="77"/>
      <c r="E144" s="77"/>
      <c r="F144" s="77">
        <v>3980</v>
      </c>
      <c r="G144" s="77">
        <v>4129</v>
      </c>
      <c r="H144" s="48">
        <f t="shared" si="44"/>
        <v>103.74371859296483</v>
      </c>
      <c r="I144" s="70"/>
      <c r="J144" s="68"/>
    </row>
    <row r="145" spans="1:10" ht="21" customHeight="1" collapsed="1">
      <c r="A145" s="1"/>
      <c r="B145" s="17" t="s">
        <v>104</v>
      </c>
      <c r="C145" s="1" t="s">
        <v>1</v>
      </c>
      <c r="D145" s="76">
        <v>5412</v>
      </c>
      <c r="E145" s="76">
        <v>5400</v>
      </c>
      <c r="F145" s="76">
        <v>5700</v>
      </c>
      <c r="G145" s="76">
        <v>5515</v>
      </c>
      <c r="H145" s="48">
        <f t="shared" si="44"/>
        <v>96.754385964912274</v>
      </c>
      <c r="I145" s="3"/>
      <c r="J145" s="67"/>
    </row>
    <row r="146" spans="1:10" ht="21" customHeight="1">
      <c r="A146" s="1"/>
      <c r="B146" s="17" t="s">
        <v>105</v>
      </c>
      <c r="C146" s="1" t="s">
        <v>1</v>
      </c>
      <c r="D146" s="76">
        <v>3521</v>
      </c>
      <c r="E146" s="76">
        <v>3560</v>
      </c>
      <c r="F146" s="76">
        <v>3570</v>
      </c>
      <c r="G146" s="76">
        <v>3558</v>
      </c>
      <c r="H146" s="48">
        <f t="shared" si="44"/>
        <v>99.663865546218474</v>
      </c>
      <c r="I146" s="3"/>
    </row>
    <row r="147" spans="1:10" ht="21" customHeight="1">
      <c r="A147" s="1"/>
      <c r="B147" s="17" t="s">
        <v>137</v>
      </c>
      <c r="C147" s="1" t="s">
        <v>1</v>
      </c>
      <c r="D147" s="76">
        <v>741</v>
      </c>
      <c r="E147" s="76">
        <v>741</v>
      </c>
      <c r="F147" s="76">
        <v>830</v>
      </c>
      <c r="G147" s="76">
        <v>807</v>
      </c>
      <c r="H147" s="48">
        <f t="shared" si="44"/>
        <v>97.228915662650593</v>
      </c>
      <c r="I147" s="3"/>
    </row>
    <row r="148" spans="1:10" s="15" customFormat="1" ht="21" customHeight="1">
      <c r="A148" s="8">
        <v>2</v>
      </c>
      <c r="B148" s="12" t="s">
        <v>188</v>
      </c>
      <c r="C148" s="8"/>
      <c r="D148" s="146"/>
      <c r="E148" s="146"/>
      <c r="F148" s="146"/>
      <c r="G148" s="146"/>
      <c r="H148" s="53"/>
      <c r="I148" s="69"/>
    </row>
    <row r="149" spans="1:10" ht="21" customHeight="1">
      <c r="A149" s="1"/>
      <c r="B149" s="29" t="s">
        <v>36</v>
      </c>
      <c r="C149" s="1" t="s">
        <v>1</v>
      </c>
      <c r="D149" s="76"/>
      <c r="E149" s="76"/>
      <c r="F149" s="76">
        <v>60</v>
      </c>
      <c r="G149" s="76">
        <v>41</v>
      </c>
      <c r="H149" s="48">
        <f t="shared" ref="H149:H190" si="46">IFERROR(G149/F149%,"")</f>
        <v>68.333333333333343</v>
      </c>
      <c r="I149" s="3"/>
    </row>
    <row r="150" spans="1:10" ht="21" customHeight="1">
      <c r="A150" s="1"/>
      <c r="B150" s="29" t="s">
        <v>35</v>
      </c>
      <c r="C150" s="1" t="s">
        <v>1</v>
      </c>
      <c r="D150" s="76"/>
      <c r="E150" s="76"/>
      <c r="F150" s="76">
        <v>60</v>
      </c>
      <c r="G150" s="76">
        <v>0</v>
      </c>
      <c r="H150" s="48">
        <f t="shared" si="46"/>
        <v>0</v>
      </c>
      <c r="I150" s="3"/>
    </row>
    <row r="151" spans="1:10" s="139" customFormat="1" ht="22.5" hidden="1" customHeight="1" outlineLevel="1">
      <c r="A151" s="135">
        <v>3</v>
      </c>
      <c r="B151" s="136" t="s">
        <v>166</v>
      </c>
      <c r="C151" s="135"/>
      <c r="D151" s="137">
        <f t="shared" ref="D151:F151" si="47">SUM(D153:D157)</f>
        <v>37</v>
      </c>
      <c r="E151" s="137">
        <f t="shared" si="47"/>
        <v>38</v>
      </c>
      <c r="F151" s="137">
        <f t="shared" si="47"/>
        <v>38</v>
      </c>
      <c r="G151" s="137">
        <f t="shared" ref="G151" si="48">SUM(G153:G157)</f>
        <v>38</v>
      </c>
      <c r="H151" s="106">
        <f t="shared" si="46"/>
        <v>100</v>
      </c>
      <c r="I151" s="138"/>
    </row>
    <row r="152" spans="1:10" s="88" customFormat="1" ht="22.5" hidden="1" customHeight="1" outlineLevel="1">
      <c r="A152" s="84"/>
      <c r="B152" s="89" t="s">
        <v>136</v>
      </c>
      <c r="C152" s="84"/>
      <c r="D152" s="86"/>
      <c r="E152" s="86"/>
      <c r="F152" s="86"/>
      <c r="G152" s="86"/>
      <c r="H152" s="87" t="str">
        <f t="shared" si="46"/>
        <v/>
      </c>
      <c r="I152" s="111"/>
    </row>
    <row r="153" spans="1:10" s="88" customFormat="1" ht="22.5" hidden="1" customHeight="1" outlineLevel="1">
      <c r="A153" s="84"/>
      <c r="B153" s="85" t="s">
        <v>138</v>
      </c>
      <c r="C153" s="84" t="s">
        <v>62</v>
      </c>
      <c r="D153" s="86">
        <v>13</v>
      </c>
      <c r="E153" s="86">
        <v>13</v>
      </c>
      <c r="F153" s="86">
        <f>E153</f>
        <v>13</v>
      </c>
      <c r="G153" s="86">
        <f>E153</f>
        <v>13</v>
      </c>
      <c r="H153" s="87">
        <f t="shared" si="46"/>
        <v>100</v>
      </c>
      <c r="I153" s="111"/>
    </row>
    <row r="154" spans="1:10" s="88" customFormat="1" ht="22.5" hidden="1" customHeight="1" outlineLevel="1">
      <c r="A154" s="84"/>
      <c r="B154" s="85" t="s">
        <v>139</v>
      </c>
      <c r="C154" s="84" t="s">
        <v>62</v>
      </c>
      <c r="D154" s="86">
        <v>13</v>
      </c>
      <c r="E154" s="86">
        <v>14</v>
      </c>
      <c r="F154" s="86">
        <f>E154</f>
        <v>14</v>
      </c>
      <c r="G154" s="86">
        <f>E154</f>
        <v>14</v>
      </c>
      <c r="H154" s="87">
        <f t="shared" si="46"/>
        <v>99.999999999999986</v>
      </c>
      <c r="I154" s="111"/>
    </row>
    <row r="155" spans="1:10" s="88" customFormat="1" ht="22.5" hidden="1" customHeight="1" outlineLevel="1">
      <c r="A155" s="84"/>
      <c r="B155" s="85" t="s">
        <v>140</v>
      </c>
      <c r="C155" s="84" t="s">
        <v>62</v>
      </c>
      <c r="D155" s="86">
        <v>9</v>
      </c>
      <c r="E155" s="86">
        <v>9</v>
      </c>
      <c r="F155" s="86">
        <f>E155</f>
        <v>9</v>
      </c>
      <c r="G155" s="86">
        <f>E155</f>
        <v>9</v>
      </c>
      <c r="H155" s="87">
        <f t="shared" si="46"/>
        <v>100</v>
      </c>
      <c r="I155" s="111"/>
    </row>
    <row r="156" spans="1:10" s="88" customFormat="1" ht="22.5" hidden="1" customHeight="1" outlineLevel="1">
      <c r="A156" s="84"/>
      <c r="B156" s="85" t="s">
        <v>141</v>
      </c>
      <c r="C156" s="84" t="s">
        <v>62</v>
      </c>
      <c r="D156" s="86">
        <v>1</v>
      </c>
      <c r="E156" s="86">
        <v>1</v>
      </c>
      <c r="F156" s="86">
        <f>E156</f>
        <v>1</v>
      </c>
      <c r="G156" s="86">
        <f>E156</f>
        <v>1</v>
      </c>
      <c r="H156" s="87">
        <f t="shared" si="46"/>
        <v>100</v>
      </c>
      <c r="I156" s="111"/>
    </row>
    <row r="157" spans="1:10" s="88" customFormat="1" ht="22.5" hidden="1" customHeight="1" outlineLevel="1">
      <c r="A157" s="84"/>
      <c r="B157" s="85" t="s">
        <v>142</v>
      </c>
      <c r="C157" s="84" t="s">
        <v>62</v>
      </c>
      <c r="D157" s="86">
        <v>1</v>
      </c>
      <c r="E157" s="86">
        <v>1</v>
      </c>
      <c r="F157" s="86">
        <f>E157</f>
        <v>1</v>
      </c>
      <c r="G157" s="86">
        <f>E157</f>
        <v>1</v>
      </c>
      <c r="H157" s="87">
        <f t="shared" si="46"/>
        <v>100</v>
      </c>
      <c r="I157" s="111"/>
    </row>
    <row r="158" spans="1:10" s="139" customFormat="1" ht="22.5" hidden="1" customHeight="1" outlineLevel="1">
      <c r="A158" s="135">
        <v>4</v>
      </c>
      <c r="B158" s="136" t="s">
        <v>143</v>
      </c>
      <c r="C158" s="135" t="s">
        <v>62</v>
      </c>
      <c r="D158" s="137">
        <f t="shared" ref="D158:G158" si="49">SUM(D160:D164)</f>
        <v>20</v>
      </c>
      <c r="E158" s="137">
        <f t="shared" si="49"/>
        <v>22</v>
      </c>
      <c r="F158" s="137">
        <f t="shared" si="49"/>
        <v>25</v>
      </c>
      <c r="G158" s="137">
        <f t="shared" si="49"/>
        <v>22</v>
      </c>
      <c r="H158" s="106">
        <f t="shared" si="46"/>
        <v>88</v>
      </c>
      <c r="I158" s="138"/>
    </row>
    <row r="159" spans="1:10" s="88" customFormat="1" ht="22.5" hidden="1" customHeight="1" outlineLevel="1">
      <c r="A159" s="84"/>
      <c r="B159" s="89" t="s">
        <v>136</v>
      </c>
      <c r="C159" s="84"/>
      <c r="D159" s="86"/>
      <c r="E159" s="86"/>
      <c r="F159" s="86"/>
      <c r="G159" s="86"/>
      <c r="H159" s="87" t="str">
        <f t="shared" si="46"/>
        <v/>
      </c>
      <c r="I159" s="111"/>
    </row>
    <row r="160" spans="1:10" s="88" customFormat="1" ht="22.5" hidden="1" customHeight="1" outlineLevel="1">
      <c r="A160" s="84"/>
      <c r="B160" s="85" t="s">
        <v>138</v>
      </c>
      <c r="C160" s="84" t="s">
        <v>62</v>
      </c>
      <c r="D160" s="86">
        <v>5</v>
      </c>
      <c r="E160" s="86">
        <v>7</v>
      </c>
      <c r="F160" s="86">
        <v>8</v>
      </c>
      <c r="G160" s="86">
        <f>E160</f>
        <v>7</v>
      </c>
      <c r="H160" s="87">
        <f t="shared" si="46"/>
        <v>87.5</v>
      </c>
      <c r="I160" s="111"/>
    </row>
    <row r="161" spans="1:9" s="88" customFormat="1" ht="22.5" hidden="1" customHeight="1" outlineLevel="1">
      <c r="A161" s="84"/>
      <c r="B161" s="85" t="s">
        <v>139</v>
      </c>
      <c r="C161" s="84" t="s">
        <v>62</v>
      </c>
      <c r="D161" s="86">
        <v>9</v>
      </c>
      <c r="E161" s="86">
        <v>9</v>
      </c>
      <c r="F161" s="86">
        <v>10</v>
      </c>
      <c r="G161" s="86">
        <f>E161</f>
        <v>9</v>
      </c>
      <c r="H161" s="87">
        <f t="shared" si="46"/>
        <v>90</v>
      </c>
      <c r="I161" s="111"/>
    </row>
    <row r="162" spans="1:9" s="88" customFormat="1" ht="22.5" hidden="1" customHeight="1" outlineLevel="1">
      <c r="A162" s="84"/>
      <c r="B162" s="85" t="s">
        <v>140</v>
      </c>
      <c r="C162" s="84" t="s">
        <v>62</v>
      </c>
      <c r="D162" s="86">
        <v>4</v>
      </c>
      <c r="E162" s="86">
        <v>4</v>
      </c>
      <c r="F162" s="86">
        <v>5</v>
      </c>
      <c r="G162" s="86">
        <f>E162</f>
        <v>4</v>
      </c>
      <c r="H162" s="87">
        <f t="shared" si="46"/>
        <v>80</v>
      </c>
      <c r="I162" s="111"/>
    </row>
    <row r="163" spans="1:9" s="88" customFormat="1" ht="22.5" hidden="1" customHeight="1" outlineLevel="1">
      <c r="A163" s="84"/>
      <c r="B163" s="85" t="s">
        <v>141</v>
      </c>
      <c r="C163" s="84" t="s">
        <v>62</v>
      </c>
      <c r="D163" s="86">
        <v>1</v>
      </c>
      <c r="E163" s="86">
        <v>1</v>
      </c>
      <c r="F163" s="86">
        <v>1</v>
      </c>
      <c r="G163" s="86">
        <f>E163</f>
        <v>1</v>
      </c>
      <c r="H163" s="87">
        <f t="shared" si="46"/>
        <v>100</v>
      </c>
      <c r="I163" s="111"/>
    </row>
    <row r="164" spans="1:9" s="88" customFormat="1" ht="22.5" hidden="1" customHeight="1" outlineLevel="1">
      <c r="A164" s="84"/>
      <c r="B164" s="85" t="s">
        <v>142</v>
      </c>
      <c r="C164" s="84" t="s">
        <v>62</v>
      </c>
      <c r="D164" s="86">
        <v>1</v>
      </c>
      <c r="E164" s="86">
        <v>1</v>
      </c>
      <c r="F164" s="86">
        <v>1</v>
      </c>
      <c r="G164" s="86">
        <f>E164</f>
        <v>1</v>
      </c>
      <c r="H164" s="87">
        <f t="shared" si="46"/>
        <v>100</v>
      </c>
      <c r="I164" s="111"/>
    </row>
    <row r="165" spans="1:9" s="15" customFormat="1" ht="22.5" customHeight="1" collapsed="1">
      <c r="A165" s="8">
        <v>3</v>
      </c>
      <c r="B165" s="12" t="s">
        <v>63</v>
      </c>
      <c r="C165" s="8" t="s">
        <v>16</v>
      </c>
      <c r="D165" s="140">
        <f t="shared" ref="D165:G165" si="50">D158/D151%</f>
        <v>54.054054054054056</v>
      </c>
      <c r="E165" s="140">
        <f t="shared" si="50"/>
        <v>57.89473684210526</v>
      </c>
      <c r="F165" s="140">
        <f t="shared" si="50"/>
        <v>65.78947368421052</v>
      </c>
      <c r="G165" s="140">
        <f t="shared" si="50"/>
        <v>57.89473684210526</v>
      </c>
      <c r="H165" s="53">
        <f t="shared" si="46"/>
        <v>88</v>
      </c>
      <c r="I165" s="69"/>
    </row>
    <row r="166" spans="1:9" ht="22.5" hidden="1" customHeight="1" outlineLevel="1">
      <c r="A166" s="1"/>
      <c r="B166" s="27" t="s">
        <v>136</v>
      </c>
      <c r="C166" s="1"/>
      <c r="D166" s="45"/>
      <c r="E166" s="45"/>
      <c r="F166" s="45"/>
      <c r="G166" s="45"/>
      <c r="H166" s="53" t="str">
        <f t="shared" si="46"/>
        <v/>
      </c>
      <c r="I166" s="3"/>
    </row>
    <row r="167" spans="1:9" ht="22.5" hidden="1" customHeight="1" outlineLevel="1">
      <c r="A167" s="1"/>
      <c r="B167" s="17" t="s">
        <v>138</v>
      </c>
      <c r="C167" s="1" t="s">
        <v>16</v>
      </c>
      <c r="D167" s="45">
        <f t="shared" ref="D167:G171" si="51">D160/D153%</f>
        <v>38.46153846153846</v>
      </c>
      <c r="E167" s="45">
        <f t="shared" si="51"/>
        <v>53.846153846153847</v>
      </c>
      <c r="F167" s="45">
        <f t="shared" si="51"/>
        <v>61.538461538461533</v>
      </c>
      <c r="G167" s="45">
        <f t="shared" si="51"/>
        <v>53.846153846153847</v>
      </c>
      <c r="H167" s="48">
        <f t="shared" si="46"/>
        <v>87.500000000000014</v>
      </c>
      <c r="I167" s="3"/>
    </row>
    <row r="168" spans="1:9" ht="22.5" hidden="1" customHeight="1" outlineLevel="1">
      <c r="A168" s="1"/>
      <c r="B168" s="17" t="s">
        <v>139</v>
      </c>
      <c r="C168" s="1" t="s">
        <v>16</v>
      </c>
      <c r="D168" s="45">
        <f t="shared" si="51"/>
        <v>69.230769230769226</v>
      </c>
      <c r="E168" s="45">
        <f t="shared" si="51"/>
        <v>64.285714285714278</v>
      </c>
      <c r="F168" s="45">
        <f t="shared" si="51"/>
        <v>71.428571428571416</v>
      </c>
      <c r="G168" s="45">
        <f t="shared" si="51"/>
        <v>64.285714285714278</v>
      </c>
      <c r="H168" s="48">
        <f t="shared" si="46"/>
        <v>90</v>
      </c>
      <c r="I168" s="3"/>
    </row>
    <row r="169" spans="1:9" ht="22.5" hidden="1" customHeight="1" outlineLevel="1">
      <c r="A169" s="1"/>
      <c r="B169" s="17" t="s">
        <v>140</v>
      </c>
      <c r="C169" s="1" t="s">
        <v>16</v>
      </c>
      <c r="D169" s="45">
        <f t="shared" si="51"/>
        <v>44.444444444444443</v>
      </c>
      <c r="E169" s="45">
        <f t="shared" si="51"/>
        <v>44.444444444444443</v>
      </c>
      <c r="F169" s="45">
        <f t="shared" si="51"/>
        <v>55.555555555555557</v>
      </c>
      <c r="G169" s="45">
        <f t="shared" si="51"/>
        <v>44.444444444444443</v>
      </c>
      <c r="H169" s="48">
        <f t="shared" si="46"/>
        <v>80</v>
      </c>
      <c r="I169" s="3"/>
    </row>
    <row r="170" spans="1:9" ht="22.5" hidden="1" customHeight="1" outlineLevel="1">
      <c r="A170" s="1"/>
      <c r="B170" s="17" t="s">
        <v>141</v>
      </c>
      <c r="C170" s="1" t="s">
        <v>16</v>
      </c>
      <c r="D170" s="45">
        <f t="shared" si="51"/>
        <v>100</v>
      </c>
      <c r="E170" s="45">
        <f t="shared" si="51"/>
        <v>100</v>
      </c>
      <c r="F170" s="45">
        <f t="shared" si="51"/>
        <v>100</v>
      </c>
      <c r="G170" s="45">
        <f t="shared" si="51"/>
        <v>100</v>
      </c>
      <c r="H170" s="48">
        <f t="shared" si="46"/>
        <v>100</v>
      </c>
      <c r="I170" s="3"/>
    </row>
    <row r="171" spans="1:9" ht="22.5" hidden="1" customHeight="1" outlineLevel="1">
      <c r="A171" s="1"/>
      <c r="B171" s="17" t="s">
        <v>142</v>
      </c>
      <c r="C171" s="1" t="s">
        <v>16</v>
      </c>
      <c r="D171" s="45">
        <f t="shared" si="51"/>
        <v>100</v>
      </c>
      <c r="E171" s="45">
        <f t="shared" si="51"/>
        <v>100</v>
      </c>
      <c r="F171" s="45">
        <f t="shared" si="51"/>
        <v>100</v>
      </c>
      <c r="G171" s="45">
        <f t="shared" si="51"/>
        <v>100</v>
      </c>
      <c r="H171" s="48">
        <f t="shared" si="46"/>
        <v>100</v>
      </c>
      <c r="I171" s="3"/>
    </row>
    <row r="172" spans="1:9" ht="22.5" customHeight="1" collapsed="1">
      <c r="A172" s="90" t="s">
        <v>29</v>
      </c>
      <c r="B172" s="95" t="s">
        <v>145</v>
      </c>
      <c r="C172" s="114"/>
      <c r="D172" s="117"/>
      <c r="E172" s="117"/>
      <c r="F172" s="117"/>
      <c r="G172" s="117"/>
      <c r="H172" s="94" t="str">
        <f t="shared" si="46"/>
        <v/>
      </c>
      <c r="I172" s="116"/>
    </row>
    <row r="173" spans="1:9" ht="22.5" customHeight="1">
      <c r="A173" s="1">
        <v>1</v>
      </c>
      <c r="B173" s="17" t="s">
        <v>146</v>
      </c>
      <c r="C173" s="1" t="s">
        <v>64</v>
      </c>
      <c r="D173" s="10">
        <v>130</v>
      </c>
      <c r="E173" s="10">
        <v>130</v>
      </c>
      <c r="F173" s="10">
        <v>135</v>
      </c>
      <c r="G173" s="10">
        <v>135</v>
      </c>
      <c r="H173" s="48">
        <f t="shared" si="46"/>
        <v>100</v>
      </c>
      <c r="I173" s="3"/>
    </row>
    <row r="174" spans="1:9" ht="24" customHeight="1">
      <c r="A174" s="1">
        <v>2</v>
      </c>
      <c r="B174" s="17" t="s">
        <v>202</v>
      </c>
      <c r="C174" s="1" t="s">
        <v>144</v>
      </c>
      <c r="D174" s="10">
        <v>2</v>
      </c>
      <c r="E174" s="10">
        <v>6</v>
      </c>
      <c r="F174" s="10">
        <v>7</v>
      </c>
      <c r="G174" s="10">
        <v>4</v>
      </c>
      <c r="H174" s="48">
        <f t="shared" si="46"/>
        <v>57.142857142857139</v>
      </c>
      <c r="I174" s="3"/>
    </row>
    <row r="175" spans="1:9" ht="25.5" customHeight="1">
      <c r="A175" s="1"/>
      <c r="B175" s="37" t="s">
        <v>203</v>
      </c>
      <c r="C175" s="1" t="s">
        <v>16</v>
      </c>
      <c r="D175" s="45">
        <f t="shared" ref="D175:G175" si="52">D174/9%</f>
        <v>22.222222222222221</v>
      </c>
      <c r="E175" s="45">
        <f t="shared" si="52"/>
        <v>66.666666666666671</v>
      </c>
      <c r="F175" s="45">
        <f t="shared" si="52"/>
        <v>77.777777777777786</v>
      </c>
      <c r="G175" s="45">
        <f t="shared" si="52"/>
        <v>44.444444444444443</v>
      </c>
      <c r="H175" s="48">
        <f t="shared" si="46"/>
        <v>57.142857142857132</v>
      </c>
      <c r="I175" s="3"/>
    </row>
    <row r="176" spans="1:9" ht="21.75" customHeight="1">
      <c r="A176" s="1">
        <v>3</v>
      </c>
      <c r="B176" s="29" t="s">
        <v>82</v>
      </c>
      <c r="C176" s="1" t="s">
        <v>16</v>
      </c>
      <c r="D176" s="45">
        <v>83.5</v>
      </c>
      <c r="E176" s="45">
        <v>87</v>
      </c>
      <c r="F176" s="45">
        <v>90</v>
      </c>
      <c r="G176" s="45"/>
      <c r="H176" s="53">
        <f t="shared" si="46"/>
        <v>0</v>
      </c>
      <c r="I176" s="3"/>
    </row>
    <row r="177" spans="1:9" ht="31.2">
      <c r="A177" s="1">
        <v>4</v>
      </c>
      <c r="B177" s="29" t="s">
        <v>180</v>
      </c>
      <c r="C177" s="1" t="s">
        <v>16</v>
      </c>
      <c r="D177" s="61">
        <v>33.1</v>
      </c>
      <c r="E177" s="45">
        <v>31.8</v>
      </c>
      <c r="F177" s="45">
        <v>31.3</v>
      </c>
      <c r="G177" s="45"/>
      <c r="H177" s="53">
        <f t="shared" si="46"/>
        <v>0</v>
      </c>
      <c r="I177" s="3"/>
    </row>
    <row r="178" spans="1:9" ht="31.2">
      <c r="A178" s="1">
        <v>5</v>
      </c>
      <c r="B178" s="29" t="s">
        <v>181</v>
      </c>
      <c r="C178" s="1" t="s">
        <v>16</v>
      </c>
      <c r="D178" s="61">
        <v>20.6</v>
      </c>
      <c r="E178" s="45">
        <v>20</v>
      </c>
      <c r="F178" s="45">
        <v>19.5</v>
      </c>
      <c r="G178" s="45"/>
      <c r="H178" s="53">
        <f t="shared" si="46"/>
        <v>0</v>
      </c>
      <c r="I178" s="3"/>
    </row>
    <row r="179" spans="1:9" ht="31.2">
      <c r="A179" s="90" t="s">
        <v>39</v>
      </c>
      <c r="B179" s="91" t="s">
        <v>86</v>
      </c>
      <c r="C179" s="92"/>
      <c r="D179" s="117"/>
      <c r="E179" s="117"/>
      <c r="F179" s="117"/>
      <c r="G179" s="117"/>
      <c r="H179" s="94" t="str">
        <f t="shared" si="46"/>
        <v/>
      </c>
      <c r="I179" s="116"/>
    </row>
    <row r="180" spans="1:9" ht="22.5" customHeight="1">
      <c r="A180" s="8">
        <v>1</v>
      </c>
      <c r="B180" s="44" t="s">
        <v>87</v>
      </c>
      <c r="C180" s="9"/>
      <c r="D180" s="10"/>
      <c r="E180" s="10"/>
      <c r="F180" s="10"/>
      <c r="G180" s="10"/>
      <c r="H180" s="53" t="str">
        <f t="shared" si="46"/>
        <v/>
      </c>
      <c r="I180" s="3"/>
    </row>
    <row r="181" spans="1:9" ht="22.5" customHeight="1">
      <c r="A181" s="16"/>
      <c r="B181" s="38" t="s">
        <v>88</v>
      </c>
      <c r="C181" s="18" t="s">
        <v>3</v>
      </c>
      <c r="D181" s="49">
        <v>1560</v>
      </c>
      <c r="E181" s="49">
        <v>1560</v>
      </c>
      <c r="F181" s="49">
        <f>E181</f>
        <v>1560</v>
      </c>
      <c r="G181" s="49">
        <v>430</v>
      </c>
      <c r="H181" s="48">
        <f t="shared" si="46"/>
        <v>27.564102564102566</v>
      </c>
      <c r="I181" s="3"/>
    </row>
    <row r="182" spans="1:9" ht="22.5" customHeight="1">
      <c r="A182" s="16"/>
      <c r="B182" s="38" t="s">
        <v>89</v>
      </c>
      <c r="C182" s="18" t="s">
        <v>3</v>
      </c>
      <c r="D182" s="49">
        <v>21800</v>
      </c>
      <c r="E182" s="49">
        <v>21800</v>
      </c>
      <c r="F182" s="49">
        <f>E182</f>
        <v>21800</v>
      </c>
      <c r="G182" s="49">
        <v>6100</v>
      </c>
      <c r="H182" s="48">
        <f t="shared" si="46"/>
        <v>27.98165137614679</v>
      </c>
      <c r="I182" s="3"/>
    </row>
    <row r="183" spans="1:9" ht="22.5" hidden="1" customHeight="1" outlineLevel="1">
      <c r="A183" s="8">
        <v>2</v>
      </c>
      <c r="B183" s="44" t="s">
        <v>90</v>
      </c>
      <c r="C183" s="18"/>
      <c r="D183" s="49"/>
      <c r="E183" s="49"/>
      <c r="F183" s="49"/>
      <c r="G183" s="49"/>
      <c r="H183" s="53" t="str">
        <f t="shared" si="46"/>
        <v/>
      </c>
      <c r="I183" s="3"/>
    </row>
    <row r="184" spans="1:9" ht="22.5" hidden="1" customHeight="1" outlineLevel="1">
      <c r="A184" s="1"/>
      <c r="B184" s="38" t="s">
        <v>92</v>
      </c>
      <c r="C184" s="18" t="s">
        <v>93</v>
      </c>
      <c r="D184" s="49">
        <v>9233</v>
      </c>
      <c r="E184" s="49">
        <v>10000</v>
      </c>
      <c r="F184" s="49">
        <v>10250</v>
      </c>
      <c r="G184" s="49"/>
      <c r="H184" s="53">
        <f t="shared" si="46"/>
        <v>0</v>
      </c>
      <c r="I184" s="3"/>
    </row>
    <row r="185" spans="1:9" ht="22.5" hidden="1" customHeight="1" outlineLevel="1">
      <c r="A185" s="1" t="s">
        <v>91</v>
      </c>
      <c r="B185" s="38" t="s">
        <v>94</v>
      </c>
      <c r="C185" s="33" t="s">
        <v>16</v>
      </c>
      <c r="D185" s="49">
        <v>85.6</v>
      </c>
      <c r="E185" s="49">
        <f>E184/E126%</f>
        <v>89.928057553956833</v>
      </c>
      <c r="F185" s="49">
        <f>F184/F126%</f>
        <v>90.070298769771526</v>
      </c>
      <c r="G185" s="49"/>
      <c r="H185" s="48">
        <f t="shared" si="46"/>
        <v>0</v>
      </c>
      <c r="I185" s="3"/>
    </row>
    <row r="186" spans="1:9" ht="22.5" hidden="1" customHeight="1" outlineLevel="1">
      <c r="A186" s="1"/>
      <c r="B186" s="38" t="s">
        <v>96</v>
      </c>
      <c r="C186" s="18" t="s">
        <v>97</v>
      </c>
      <c r="D186" s="5">
        <v>58</v>
      </c>
      <c r="E186" s="5">
        <v>61</v>
      </c>
      <c r="F186" s="5">
        <v>61</v>
      </c>
      <c r="G186" s="5"/>
      <c r="H186" s="48">
        <f t="shared" si="46"/>
        <v>0</v>
      </c>
      <c r="I186" s="3"/>
    </row>
    <row r="187" spans="1:9" ht="22.5" hidden="1" customHeight="1" outlineLevel="1">
      <c r="A187" s="1" t="s">
        <v>95</v>
      </c>
      <c r="B187" s="38" t="s">
        <v>71</v>
      </c>
      <c r="C187" s="33" t="s">
        <v>16</v>
      </c>
      <c r="D187" s="49">
        <f>D186/67%</f>
        <v>86.567164179104466</v>
      </c>
      <c r="E187" s="49">
        <f>E186/67%</f>
        <v>91.044776119402982</v>
      </c>
      <c r="F187" s="49">
        <f>F186/67%</f>
        <v>91.044776119402982</v>
      </c>
      <c r="G187" s="49"/>
      <c r="H187" s="48">
        <f t="shared" si="46"/>
        <v>0</v>
      </c>
      <c r="I187" s="3"/>
    </row>
    <row r="188" spans="1:9" ht="22.5" hidden="1" customHeight="1" outlineLevel="1">
      <c r="A188" s="1" t="s">
        <v>98</v>
      </c>
      <c r="B188" s="38" t="s">
        <v>99</v>
      </c>
      <c r="C188" s="18" t="s">
        <v>100</v>
      </c>
      <c r="D188" s="49">
        <v>88</v>
      </c>
      <c r="E188" s="49">
        <v>90</v>
      </c>
      <c r="F188" s="49">
        <v>90</v>
      </c>
      <c r="G188" s="49"/>
      <c r="H188" s="48">
        <f t="shared" si="46"/>
        <v>0</v>
      </c>
      <c r="I188" s="3"/>
    </row>
    <row r="189" spans="1:9" ht="22.5" hidden="1" customHeight="1" outlineLevel="1">
      <c r="A189" s="1" t="s">
        <v>149</v>
      </c>
      <c r="B189" s="17" t="s">
        <v>151</v>
      </c>
      <c r="C189" s="1" t="s">
        <v>37</v>
      </c>
      <c r="D189" s="49">
        <v>4</v>
      </c>
      <c r="E189" s="49">
        <v>4</v>
      </c>
      <c r="F189" s="49">
        <v>4</v>
      </c>
      <c r="G189" s="49">
        <v>4</v>
      </c>
      <c r="H189" s="48">
        <f t="shared" si="46"/>
        <v>100</v>
      </c>
      <c r="I189" s="3"/>
    </row>
    <row r="190" spans="1:9" ht="36.75" hidden="1" customHeight="1" outlineLevel="1">
      <c r="A190" s="84"/>
      <c r="B190" s="105" t="s">
        <v>253</v>
      </c>
      <c r="C190" s="84"/>
      <c r="D190" s="86"/>
      <c r="E190" s="86"/>
      <c r="F190" s="86"/>
      <c r="G190" s="86"/>
      <c r="H190" s="106" t="str">
        <f t="shared" si="46"/>
        <v/>
      </c>
      <c r="I190" s="3"/>
    </row>
    <row r="191" spans="1:9" ht="23.25" hidden="1" customHeight="1" outlineLevel="1">
      <c r="A191" s="1">
        <v>1</v>
      </c>
      <c r="B191" s="17" t="s">
        <v>110</v>
      </c>
      <c r="C191" s="1" t="s">
        <v>16</v>
      </c>
      <c r="D191" s="17"/>
      <c r="E191" s="17"/>
      <c r="F191" s="17">
        <v>100</v>
      </c>
      <c r="G191" s="17"/>
      <c r="H191" s="17"/>
      <c r="I191" s="17"/>
    </row>
    <row r="192" spans="1:9" ht="15" customHeight="1" collapsed="1">
      <c r="A192" s="81"/>
      <c r="B192" s="82"/>
      <c r="C192" s="81"/>
      <c r="D192" s="82"/>
      <c r="E192" s="82"/>
      <c r="F192" s="82"/>
      <c r="G192" s="82"/>
      <c r="H192" s="82"/>
      <c r="I192" s="82"/>
    </row>
    <row r="193" spans="1:9">
      <c r="A193" s="78"/>
      <c r="B193" s="46"/>
      <c r="C193" s="78"/>
      <c r="D193" s="46"/>
      <c r="E193" s="46"/>
      <c r="F193" s="46"/>
      <c r="G193" s="46"/>
      <c r="H193" s="46"/>
      <c r="I193" s="46"/>
    </row>
    <row r="194" spans="1:9">
      <c r="A194" s="78"/>
      <c r="B194" s="46"/>
      <c r="C194" s="78"/>
      <c r="D194" s="46"/>
      <c r="E194" s="46"/>
      <c r="F194" s="46"/>
      <c r="G194" s="46"/>
      <c r="H194" s="46"/>
      <c r="I194" s="46"/>
    </row>
  </sheetData>
  <mergeCells count="12">
    <mergeCell ref="A1:I1"/>
    <mergeCell ref="A2:I2"/>
    <mergeCell ref="A3:I3"/>
    <mergeCell ref="B5:B6"/>
    <mergeCell ref="A5:A6"/>
    <mergeCell ref="G5:G6"/>
    <mergeCell ref="I5:I6"/>
    <mergeCell ref="E5:E6"/>
    <mergeCell ref="D5:D6"/>
    <mergeCell ref="C5:C6"/>
    <mergeCell ref="F5:F6"/>
    <mergeCell ref="H5:H6"/>
  </mergeCells>
  <pageMargins left="0.47244094488188981" right="0.39370078740157483" top="0.59055118110236227" bottom="0.47244094488188981" header="0.31496062992125984" footer="0.31496062992125984"/>
  <pageSetup paperSize="9" scale="89" fitToHeight="0" orientation="portrait" r:id="rId1"/>
  <headerFooter>
    <oddFooter>&amp;R&amp;"Times New Roman,Regular"&amp;P/&amp;N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B0F0"/>
    <pageSetUpPr fitToPage="1"/>
  </sheetPr>
  <dimension ref="A1:N208"/>
  <sheetViews>
    <sheetView zoomScale="85" zoomScaleNormal="85" zoomScaleSheetLayoutView="100" workbookViewId="0">
      <pane xSplit="2" ySplit="8" topLeftCell="C9" activePane="bottomRight" state="frozen"/>
      <selection activeCell="G25" sqref="G25"/>
      <selection pane="topRight" activeCell="G25" sqref="G25"/>
      <selection pane="bottomLeft" activeCell="G25" sqref="G25"/>
      <selection pane="bottomRight" activeCell="G25" sqref="G25"/>
    </sheetView>
  </sheetViews>
  <sheetFormatPr defaultColWidth="9.109375" defaultRowHeight="15.6" outlineLevelRow="1" outlineLevelCol="1"/>
  <cols>
    <col min="1" max="1" width="5.5546875" style="6" customWidth="1"/>
    <col min="2" max="2" width="39.109375" style="2" customWidth="1"/>
    <col min="3" max="3" width="12.5546875" style="6" customWidth="1"/>
    <col min="4" max="5" width="12.109375" style="2" hidden="1" customWidth="1" outlineLevel="1"/>
    <col min="6" max="6" width="12.109375" style="2" customWidth="1" collapsed="1"/>
    <col min="7" max="12" width="12.44140625" style="2" customWidth="1"/>
    <col min="13" max="13" width="10" style="2" bestFit="1" customWidth="1"/>
    <col min="14" max="14" width="11.88671875" style="2" bestFit="1" customWidth="1"/>
    <col min="15" max="16384" width="9.109375" style="2"/>
  </cols>
  <sheetData>
    <row r="1" spans="1:14" ht="17.399999999999999" hidden="1" outlineLevel="1">
      <c r="A1" s="685" t="s">
        <v>227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</row>
    <row r="2" spans="1:14" ht="17.399999999999999" hidden="1" outlineLevel="1">
      <c r="A2" s="676" t="s">
        <v>261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</row>
    <row r="3" spans="1:14" ht="18" hidden="1" outlineLevel="1">
      <c r="A3" s="677" t="s">
        <v>168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</row>
    <row r="4" spans="1:14" ht="9" hidden="1" customHeight="1" outlineLevel="1"/>
    <row r="5" spans="1:14" ht="16.5" customHeight="1" collapsed="1">
      <c r="A5" s="650" t="s">
        <v>32</v>
      </c>
      <c r="B5" s="650" t="s">
        <v>42</v>
      </c>
      <c r="C5" s="650" t="s">
        <v>4</v>
      </c>
      <c r="D5" s="650" t="s">
        <v>154</v>
      </c>
      <c r="E5" s="650" t="s">
        <v>182</v>
      </c>
      <c r="F5" s="651" t="s">
        <v>230</v>
      </c>
      <c r="G5" s="650" t="s">
        <v>155</v>
      </c>
      <c r="H5" s="650"/>
      <c r="I5" s="650"/>
      <c r="J5" s="650" t="s">
        <v>226</v>
      </c>
      <c r="K5" s="650"/>
      <c r="L5" s="651" t="s">
        <v>46</v>
      </c>
    </row>
    <row r="6" spans="1:14" ht="46.8">
      <c r="A6" s="650"/>
      <c r="B6" s="650"/>
      <c r="C6" s="650"/>
      <c r="D6" s="650"/>
      <c r="E6" s="650"/>
      <c r="F6" s="653"/>
      <c r="G6" s="122" t="s">
        <v>221</v>
      </c>
      <c r="H6" s="122" t="s">
        <v>228</v>
      </c>
      <c r="I6" s="122" t="s">
        <v>229</v>
      </c>
      <c r="J6" s="122" t="s">
        <v>222</v>
      </c>
      <c r="K6" s="122" t="s">
        <v>221</v>
      </c>
      <c r="L6" s="653"/>
    </row>
    <row r="7" spans="1:14">
      <c r="A7" s="7">
        <v>1</v>
      </c>
      <c r="B7" s="7">
        <v>2</v>
      </c>
      <c r="C7" s="7">
        <v>3</v>
      </c>
      <c r="D7" s="7"/>
      <c r="E7" s="7"/>
      <c r="F7" s="7">
        <v>4</v>
      </c>
      <c r="G7" s="7">
        <v>5</v>
      </c>
      <c r="H7" s="7">
        <v>6</v>
      </c>
      <c r="I7" s="7">
        <v>7</v>
      </c>
      <c r="J7" s="7" t="s">
        <v>231</v>
      </c>
      <c r="K7" s="7" t="s">
        <v>232</v>
      </c>
      <c r="L7" s="7">
        <v>10</v>
      </c>
    </row>
    <row r="8" spans="1:14" ht="23.25" customHeight="1">
      <c r="A8" s="102"/>
      <c r="B8" s="103" t="s">
        <v>68</v>
      </c>
      <c r="C8" s="102"/>
      <c r="D8" s="102"/>
      <c r="E8" s="102"/>
      <c r="F8" s="102"/>
      <c r="G8" s="102"/>
      <c r="H8" s="102"/>
      <c r="I8" s="102"/>
      <c r="J8" s="104"/>
      <c r="K8" s="104"/>
      <c r="L8" s="110"/>
    </row>
    <row r="9" spans="1:14" ht="21" customHeight="1" collapsed="1">
      <c r="A9" s="90" t="s">
        <v>23</v>
      </c>
      <c r="B9" s="91" t="s">
        <v>127</v>
      </c>
      <c r="C9" s="92"/>
      <c r="D9" s="93"/>
      <c r="E9" s="93"/>
      <c r="F9" s="93"/>
      <c r="G9" s="93"/>
      <c r="H9" s="93"/>
      <c r="I9" s="93"/>
      <c r="J9" s="94"/>
      <c r="K9" s="94"/>
      <c r="L9" s="94"/>
      <c r="M9" s="11"/>
    </row>
    <row r="10" spans="1:14" s="15" customFormat="1" ht="25.5" customHeight="1">
      <c r="A10" s="8" t="s">
        <v>21</v>
      </c>
      <c r="B10" s="12" t="s">
        <v>72</v>
      </c>
      <c r="C10" s="9" t="s">
        <v>57</v>
      </c>
      <c r="D10" s="13">
        <v>347871</v>
      </c>
      <c r="E10" s="13">
        <v>313038</v>
      </c>
      <c r="F10" s="13">
        <v>167286</v>
      </c>
      <c r="G10" s="13">
        <v>277205</v>
      </c>
      <c r="H10" s="13">
        <v>100990</v>
      </c>
      <c r="I10" s="13">
        <v>207474</v>
      </c>
      <c r="J10" s="53">
        <f t="shared" ref="J10:J43" si="0">IFERROR(I10/F10%,"")</f>
        <v>124.02352856784191</v>
      </c>
      <c r="K10" s="53">
        <f t="shared" ref="K10:K43" si="1">IFERROR(I10/G10%,"")</f>
        <v>74.844970328818022</v>
      </c>
      <c r="L10" s="69"/>
      <c r="M10" s="14"/>
    </row>
    <row r="11" spans="1:14" ht="21" customHeight="1">
      <c r="A11" s="16" t="s">
        <v>65</v>
      </c>
      <c r="B11" s="17" t="s">
        <v>73</v>
      </c>
      <c r="C11" s="18" t="s">
        <v>57</v>
      </c>
      <c r="D11" s="19">
        <v>90496</v>
      </c>
      <c r="E11" s="19">
        <v>104622</v>
      </c>
      <c r="F11" s="19">
        <v>53468</v>
      </c>
      <c r="G11" s="19">
        <v>82860</v>
      </c>
      <c r="H11" s="19">
        <v>29601</v>
      </c>
      <c r="I11" s="19">
        <v>49146</v>
      </c>
      <c r="J11" s="48">
        <f t="shared" si="0"/>
        <v>91.916660432408179</v>
      </c>
      <c r="K11" s="48">
        <f t="shared" si="1"/>
        <v>59.312092686459088</v>
      </c>
      <c r="L11" s="3"/>
      <c r="M11" s="11"/>
    </row>
    <row r="12" spans="1:14" s="34" customFormat="1" ht="21" customHeight="1">
      <c r="A12" s="58"/>
      <c r="B12" s="27" t="s">
        <v>206</v>
      </c>
      <c r="C12" s="33" t="s">
        <v>57</v>
      </c>
      <c r="D12" s="59">
        <v>84999</v>
      </c>
      <c r="E12" s="59">
        <v>71796</v>
      </c>
      <c r="F12" s="59">
        <v>31300</v>
      </c>
      <c r="G12" s="59">
        <v>70788</v>
      </c>
      <c r="H12" s="59">
        <v>23624</v>
      </c>
      <c r="I12" s="59">
        <v>38205</v>
      </c>
      <c r="J12" s="71">
        <f t="shared" si="0"/>
        <v>122.06070287539936</v>
      </c>
      <c r="K12" s="71">
        <f t="shared" si="1"/>
        <v>53.971012035938294</v>
      </c>
      <c r="L12" s="70"/>
      <c r="M12" s="11"/>
      <c r="N12" s="120"/>
    </row>
    <row r="13" spans="1:14" s="15" customFormat="1" ht="20.25" customHeight="1">
      <c r="A13" s="8" t="s">
        <v>22</v>
      </c>
      <c r="B13" s="12" t="s">
        <v>74</v>
      </c>
      <c r="C13" s="9" t="s">
        <v>57</v>
      </c>
      <c r="D13" s="13">
        <v>308217</v>
      </c>
      <c r="E13" s="13">
        <v>300633</v>
      </c>
      <c r="F13" s="13">
        <v>114521</v>
      </c>
      <c r="G13" s="13">
        <v>265133</v>
      </c>
      <c r="H13" s="13">
        <v>57166</v>
      </c>
      <c r="I13" s="13">
        <v>148884</v>
      </c>
      <c r="J13" s="53">
        <f t="shared" si="0"/>
        <v>130.005850455375</v>
      </c>
      <c r="K13" s="53">
        <f t="shared" si="1"/>
        <v>56.154458328461565</v>
      </c>
      <c r="L13" s="69"/>
      <c r="M13" s="14"/>
    </row>
    <row r="14" spans="1:14" ht="24" customHeight="1">
      <c r="A14" s="16" t="s">
        <v>65</v>
      </c>
      <c r="B14" s="17" t="s">
        <v>75</v>
      </c>
      <c r="C14" s="18" t="s">
        <v>57</v>
      </c>
      <c r="D14" s="19">
        <v>239615</v>
      </c>
      <c r="E14" s="19">
        <v>264543</v>
      </c>
      <c r="F14" s="19">
        <v>111976</v>
      </c>
      <c r="G14" s="19">
        <v>232779</v>
      </c>
      <c r="H14" s="19">
        <v>56857</v>
      </c>
      <c r="I14" s="19">
        <v>92574</v>
      </c>
      <c r="J14" s="48">
        <f t="shared" si="0"/>
        <v>82.673072801314575</v>
      </c>
      <c r="K14" s="48">
        <f t="shared" si="1"/>
        <v>39.769051331950045</v>
      </c>
      <c r="L14" s="3"/>
      <c r="M14" s="11"/>
    </row>
    <row r="15" spans="1:14" ht="20.25" customHeight="1">
      <c r="A15" s="90" t="s">
        <v>24</v>
      </c>
      <c r="B15" s="95" t="s">
        <v>77</v>
      </c>
      <c r="C15" s="96"/>
      <c r="D15" s="97"/>
      <c r="E15" s="97"/>
      <c r="F15" s="97"/>
      <c r="G15" s="97"/>
      <c r="H15" s="97"/>
      <c r="I15" s="97"/>
      <c r="J15" s="94" t="str">
        <f>IFERROR(I15/F15%,"")</f>
        <v/>
      </c>
      <c r="K15" s="94" t="str">
        <f t="shared" si="1"/>
        <v/>
      </c>
      <c r="L15" s="94"/>
    </row>
    <row r="16" spans="1:14" ht="20.25" customHeight="1">
      <c r="A16" s="1" t="s">
        <v>33</v>
      </c>
      <c r="B16" s="17" t="s">
        <v>169</v>
      </c>
      <c r="C16" s="1" t="s">
        <v>20</v>
      </c>
      <c r="D16" s="26">
        <f t="shared" ref="D16:I16" si="2">D17+D70</f>
        <v>17898.73</v>
      </c>
      <c r="E16" s="26">
        <f t="shared" si="2"/>
        <v>17734.400000000001</v>
      </c>
      <c r="F16" s="26">
        <f t="shared" si="2"/>
        <v>17350.52</v>
      </c>
      <c r="G16" s="26">
        <f t="shared" si="2"/>
        <v>18028.099999999999</v>
      </c>
      <c r="H16" s="26">
        <f t="shared" si="2"/>
        <v>10420.970000000001</v>
      </c>
      <c r="I16" s="26">
        <f t="shared" si="2"/>
        <v>17295.97</v>
      </c>
      <c r="J16" s="48">
        <f t="shared" si="0"/>
        <v>99.685600201031448</v>
      </c>
      <c r="K16" s="48">
        <f t="shared" si="1"/>
        <v>95.938950860046276</v>
      </c>
      <c r="L16" s="3"/>
    </row>
    <row r="17" spans="1:14" ht="17.25" customHeight="1">
      <c r="A17" s="8" t="s">
        <v>21</v>
      </c>
      <c r="B17" s="12" t="s">
        <v>190</v>
      </c>
      <c r="C17" s="8" t="s">
        <v>20</v>
      </c>
      <c r="D17" s="24">
        <f t="shared" ref="D17:I17" si="3">D20+D49+D56+D52+D65</f>
        <v>8084.73</v>
      </c>
      <c r="E17" s="24">
        <f t="shared" si="3"/>
        <v>7662.8</v>
      </c>
      <c r="F17" s="24">
        <f t="shared" si="3"/>
        <v>7573.32</v>
      </c>
      <c r="G17" s="24">
        <f t="shared" si="3"/>
        <v>7906</v>
      </c>
      <c r="H17" s="24">
        <f t="shared" si="3"/>
        <v>743.77</v>
      </c>
      <c r="I17" s="24">
        <f t="shared" si="3"/>
        <v>7565.77</v>
      </c>
      <c r="J17" s="53">
        <f t="shared" si="0"/>
        <v>99.900307923077335</v>
      </c>
      <c r="K17" s="53">
        <f t="shared" si="1"/>
        <v>95.696559575006333</v>
      </c>
      <c r="L17" s="3"/>
    </row>
    <row r="18" spans="1:14" ht="17.25" customHeight="1">
      <c r="A18" s="1" t="s">
        <v>33</v>
      </c>
      <c r="B18" s="17" t="s">
        <v>255</v>
      </c>
      <c r="C18" s="1" t="s">
        <v>20</v>
      </c>
      <c r="D18" s="26"/>
      <c r="E18" s="26"/>
      <c r="F18" s="26">
        <f>F28+F43+F52+F59</f>
        <v>737.42000000000007</v>
      </c>
      <c r="G18" s="26">
        <f t="shared" ref="G18:I18" si="4">G28+G43+G52+G59</f>
        <v>747</v>
      </c>
      <c r="H18" s="26">
        <f t="shared" si="4"/>
        <v>743.77</v>
      </c>
      <c r="I18" s="26">
        <f t="shared" si="4"/>
        <v>743.77</v>
      </c>
      <c r="J18" s="48">
        <f t="shared" ref="J18:J19" si="5">IFERROR(I18/F18%,"")</f>
        <v>100.86111035773371</v>
      </c>
      <c r="K18" s="48">
        <f t="shared" ref="K18:K19" si="6">IFERROR(I18/G18%,"")</f>
        <v>99.567603748326647</v>
      </c>
      <c r="L18" s="3"/>
    </row>
    <row r="19" spans="1:14" ht="17.25" customHeight="1">
      <c r="A19" s="1" t="s">
        <v>33</v>
      </c>
      <c r="B19" s="17" t="s">
        <v>254</v>
      </c>
      <c r="C19" s="1" t="s">
        <v>20</v>
      </c>
      <c r="D19" s="26"/>
      <c r="E19" s="26"/>
      <c r="F19" s="26">
        <f>F31+F46+F49+F62</f>
        <v>6822.9</v>
      </c>
      <c r="G19" s="26">
        <f t="shared" ref="G19:I19" si="7">G31+G46+G49+G62</f>
        <v>7127</v>
      </c>
      <c r="H19" s="26">
        <f t="shared" si="7"/>
        <v>0</v>
      </c>
      <c r="I19" s="26">
        <f t="shared" si="7"/>
        <v>6790</v>
      </c>
      <c r="J19" s="48">
        <f t="shared" si="5"/>
        <v>99.517800348825276</v>
      </c>
      <c r="K19" s="48">
        <f t="shared" si="6"/>
        <v>95.271502736074083</v>
      </c>
      <c r="L19" s="3"/>
      <c r="N19" s="63"/>
    </row>
    <row r="20" spans="1:14" s="15" customFormat="1" ht="17.25" customHeight="1">
      <c r="A20" s="8">
        <v>1</v>
      </c>
      <c r="B20" s="12" t="s">
        <v>7</v>
      </c>
      <c r="C20" s="8" t="s">
        <v>20</v>
      </c>
      <c r="D20" s="24">
        <f t="shared" ref="D20:I20" si="8">D25+D40</f>
        <v>1649.23</v>
      </c>
      <c r="E20" s="24">
        <f t="shared" si="8"/>
        <v>1641.6</v>
      </c>
      <c r="F20" s="24">
        <f t="shared" si="8"/>
        <v>1638.3700000000001</v>
      </c>
      <c r="G20" s="24">
        <f t="shared" si="8"/>
        <v>1614</v>
      </c>
      <c r="H20" s="24">
        <f t="shared" si="8"/>
        <v>598.87</v>
      </c>
      <c r="I20" s="24">
        <f t="shared" si="8"/>
        <v>1618.87</v>
      </c>
      <c r="J20" s="53">
        <f t="shared" si="0"/>
        <v>98.809792659777699</v>
      </c>
      <c r="K20" s="53">
        <f t="shared" si="1"/>
        <v>100.30173482032217</v>
      </c>
      <c r="L20" s="69"/>
      <c r="N20" s="147"/>
    </row>
    <row r="21" spans="1:14" ht="17.25" customHeight="1">
      <c r="A21" s="1" t="s">
        <v>33</v>
      </c>
      <c r="B21" s="17" t="s">
        <v>8</v>
      </c>
      <c r="C21" s="1" t="s">
        <v>5</v>
      </c>
      <c r="D21" s="26">
        <f t="shared" ref="D21:G21" si="9">SUM(D22:D23)</f>
        <v>6733.6763900000005</v>
      </c>
      <c r="E21" s="26">
        <f t="shared" si="9"/>
        <v>7129.6886000000004</v>
      </c>
      <c r="F21" s="26">
        <f t="shared" ref="F21:H21" si="10">SUM(F22:F23)</f>
        <v>2861.24613</v>
      </c>
      <c r="G21" s="26">
        <f t="shared" si="9"/>
        <v>7071.0429999999997</v>
      </c>
      <c r="H21" s="26">
        <f t="shared" si="10"/>
        <v>0</v>
      </c>
      <c r="I21" s="26">
        <f t="shared" ref="I21" si="11">SUM(I22:I23)</f>
        <v>7101.4050999999999</v>
      </c>
      <c r="J21" s="48">
        <f t="shared" si="0"/>
        <v>248.19273761673904</v>
      </c>
      <c r="K21" s="48">
        <f t="shared" si="1"/>
        <v>100.42938644270724</v>
      </c>
      <c r="L21" s="3"/>
    </row>
    <row r="22" spans="1:14" ht="17.25" customHeight="1">
      <c r="A22" s="1"/>
      <c r="B22" s="27" t="s">
        <v>9</v>
      </c>
      <c r="C22" s="1" t="s">
        <v>47</v>
      </c>
      <c r="D22" s="26">
        <f t="shared" ref="D22:G22" si="12">D27</f>
        <v>6298.7078300000003</v>
      </c>
      <c r="E22" s="26">
        <f t="shared" si="12"/>
        <v>6644.7176000000009</v>
      </c>
      <c r="F22" s="26">
        <f t="shared" ref="F22:H22" si="13">F27</f>
        <v>2693.0944500000001</v>
      </c>
      <c r="G22" s="26">
        <f t="shared" si="12"/>
        <v>6644.5429999999997</v>
      </c>
      <c r="H22" s="26">
        <f t="shared" si="13"/>
        <v>0</v>
      </c>
      <c r="I22" s="26">
        <f t="shared" ref="I22" si="14">I27</f>
        <v>6656.4050999999999</v>
      </c>
      <c r="J22" s="48">
        <f t="shared" si="0"/>
        <v>247.1656759011924</v>
      </c>
      <c r="K22" s="48">
        <f t="shared" si="1"/>
        <v>100.17852394062315</v>
      </c>
      <c r="L22" s="3"/>
    </row>
    <row r="23" spans="1:14" ht="17.25" customHeight="1">
      <c r="A23" s="1"/>
      <c r="B23" s="17" t="s">
        <v>61</v>
      </c>
      <c r="C23" s="1" t="s">
        <v>47</v>
      </c>
      <c r="D23" s="26">
        <f t="shared" ref="D23:G23" si="15">D42</f>
        <v>434.96856000000002</v>
      </c>
      <c r="E23" s="26">
        <f t="shared" si="15"/>
        <v>484.97099999999995</v>
      </c>
      <c r="F23" s="26">
        <f t="shared" ref="F23:H23" si="16">F42</f>
        <v>168.15168000000003</v>
      </c>
      <c r="G23" s="26">
        <f t="shared" si="15"/>
        <v>426.5</v>
      </c>
      <c r="H23" s="26">
        <f t="shared" si="16"/>
        <v>0</v>
      </c>
      <c r="I23" s="26">
        <f t="shared" ref="I23" si="17">I42</f>
        <v>445</v>
      </c>
      <c r="J23" s="48">
        <f t="shared" si="0"/>
        <v>264.64201844429977</v>
      </c>
      <c r="K23" s="48">
        <f t="shared" si="1"/>
        <v>104.33763188745604</v>
      </c>
      <c r="L23" s="3"/>
    </row>
    <row r="24" spans="1:14" ht="17.25" customHeight="1">
      <c r="A24" s="1" t="s">
        <v>33</v>
      </c>
      <c r="B24" s="17" t="s">
        <v>10</v>
      </c>
      <c r="C24" s="1" t="s">
        <v>34</v>
      </c>
      <c r="D24" s="26">
        <f t="shared" ref="D24:G24" si="18">D21/D131*1000</f>
        <v>150.81697702024726</v>
      </c>
      <c r="E24" s="26">
        <f t="shared" si="18"/>
        <v>155.51047178659456</v>
      </c>
      <c r="F24" s="26" t="str">
        <f>IFERROR(F21/F131*1000,"")</f>
        <v/>
      </c>
      <c r="G24" s="26">
        <f t="shared" si="18"/>
        <v>150.60152922133241</v>
      </c>
      <c r="H24" s="26" t="str">
        <f>IFERROR(H21/H131*1000,"")</f>
        <v/>
      </c>
      <c r="I24" s="26" t="str">
        <f>IFERROR(I21/I131*1000,"")</f>
        <v/>
      </c>
      <c r="J24" s="48" t="str">
        <f t="shared" si="0"/>
        <v/>
      </c>
      <c r="K24" s="48" t="str">
        <f t="shared" si="1"/>
        <v/>
      </c>
      <c r="L24" s="3"/>
    </row>
    <row r="25" spans="1:14" s="15" customFormat="1" ht="17.25" customHeight="1">
      <c r="A25" s="8" t="s">
        <v>17</v>
      </c>
      <c r="B25" s="36" t="s">
        <v>191</v>
      </c>
      <c r="C25" s="8" t="s">
        <v>20</v>
      </c>
      <c r="D25" s="13">
        <f t="shared" ref="D25:I25" si="19">D28+D31</f>
        <v>1558.31</v>
      </c>
      <c r="E25" s="13">
        <f t="shared" si="19"/>
        <v>1540</v>
      </c>
      <c r="F25" s="13">
        <f t="shared" si="19"/>
        <v>1539.95</v>
      </c>
      <c r="G25" s="13">
        <f t="shared" si="19"/>
        <v>1531</v>
      </c>
      <c r="H25" s="13">
        <f t="shared" si="19"/>
        <v>573.87</v>
      </c>
      <c r="I25" s="13">
        <f t="shared" si="19"/>
        <v>1533.87</v>
      </c>
      <c r="J25" s="53">
        <f t="shared" si="0"/>
        <v>99.605181986428121</v>
      </c>
      <c r="K25" s="53">
        <f t="shared" si="1"/>
        <v>100.18745917700848</v>
      </c>
      <c r="L25" s="69"/>
    </row>
    <row r="26" spans="1:14" ht="17.25" customHeight="1">
      <c r="A26" s="1"/>
      <c r="B26" s="29" t="s">
        <v>11</v>
      </c>
      <c r="C26" s="1" t="s">
        <v>6</v>
      </c>
      <c r="D26" s="30">
        <f t="shared" ref="D26:G26" si="20">D27/D25*10</f>
        <v>40.420120707689748</v>
      </c>
      <c r="E26" s="30">
        <f t="shared" si="20"/>
        <v>43.147516883116886</v>
      </c>
      <c r="F26" s="30">
        <f t="shared" ref="F26:H26" si="21">F27/F25*10</f>
        <v>17.488194097210947</v>
      </c>
      <c r="G26" s="30">
        <f t="shared" si="20"/>
        <v>43.400019595035921</v>
      </c>
      <c r="H26" s="30">
        <f t="shared" si="21"/>
        <v>0</v>
      </c>
      <c r="I26" s="30">
        <f t="shared" ref="I26" si="22">I27/I25*10</f>
        <v>43.396148956560864</v>
      </c>
      <c r="J26" s="48">
        <f t="shared" si="0"/>
        <v>248.1453986348526</v>
      </c>
      <c r="K26" s="48">
        <f t="shared" si="1"/>
        <v>99.991081482194772</v>
      </c>
      <c r="L26" s="3"/>
    </row>
    <row r="27" spans="1:14" ht="17.25" customHeight="1">
      <c r="A27" s="1"/>
      <c r="B27" s="29" t="s">
        <v>12</v>
      </c>
      <c r="C27" s="1" t="s">
        <v>47</v>
      </c>
      <c r="D27" s="19">
        <f t="shared" ref="D27:I27" si="23">D30+D33</f>
        <v>6298.7078300000003</v>
      </c>
      <c r="E27" s="19">
        <f t="shared" si="23"/>
        <v>6644.7176000000009</v>
      </c>
      <c r="F27" s="19">
        <f t="shared" si="23"/>
        <v>2693.0944500000001</v>
      </c>
      <c r="G27" s="19">
        <f t="shared" si="23"/>
        <v>6644.5429999999997</v>
      </c>
      <c r="H27" s="19">
        <f t="shared" si="23"/>
        <v>0</v>
      </c>
      <c r="I27" s="19">
        <f t="shared" si="23"/>
        <v>6656.4050999999999</v>
      </c>
      <c r="J27" s="48">
        <f t="shared" si="0"/>
        <v>247.1656759011924</v>
      </c>
      <c r="K27" s="48">
        <f t="shared" si="1"/>
        <v>100.17852394062315</v>
      </c>
      <c r="L27" s="3"/>
    </row>
    <row r="28" spans="1:14" ht="17.25" customHeight="1">
      <c r="A28" s="1" t="s">
        <v>183</v>
      </c>
      <c r="B28" s="100" t="s">
        <v>192</v>
      </c>
      <c r="C28" s="1" t="s">
        <v>20</v>
      </c>
      <c r="D28" s="19">
        <v>597.30999999999995</v>
      </c>
      <c r="E28" s="119">
        <v>570.5</v>
      </c>
      <c r="F28" s="49">
        <v>570.45000000000005</v>
      </c>
      <c r="G28" s="49">
        <v>571</v>
      </c>
      <c r="H28" s="49">
        <v>573.87</v>
      </c>
      <c r="I28" s="49">
        <v>573.87</v>
      </c>
      <c r="J28" s="48">
        <f t="shared" si="0"/>
        <v>100.59952668945569</v>
      </c>
      <c r="K28" s="48">
        <f t="shared" si="1"/>
        <v>100.50262697022767</v>
      </c>
      <c r="L28" s="3"/>
    </row>
    <row r="29" spans="1:14" ht="17.25" customHeight="1">
      <c r="A29" s="1"/>
      <c r="B29" s="100" t="s">
        <v>11</v>
      </c>
      <c r="C29" s="1" t="s">
        <v>6</v>
      </c>
      <c r="D29" s="22">
        <v>39.33</v>
      </c>
      <c r="E29" s="30">
        <v>47.2</v>
      </c>
      <c r="F29" s="48">
        <v>47.21</v>
      </c>
      <c r="G29" s="48">
        <v>47.33</v>
      </c>
      <c r="H29" s="48"/>
      <c r="I29" s="48">
        <v>47.3</v>
      </c>
      <c r="J29" s="48">
        <f t="shared" si="0"/>
        <v>100.19063757678457</v>
      </c>
      <c r="K29" s="48">
        <f t="shared" si="1"/>
        <v>99.936615254595395</v>
      </c>
      <c r="L29" s="3"/>
    </row>
    <row r="30" spans="1:14" ht="17.25" customHeight="1">
      <c r="A30" s="1"/>
      <c r="B30" s="101" t="s">
        <v>12</v>
      </c>
      <c r="C30" s="1" t="s">
        <v>47</v>
      </c>
      <c r="D30" s="19">
        <f t="shared" ref="D30:G30" si="24">D28*D29/10</f>
        <v>2349.2202299999999</v>
      </c>
      <c r="E30" s="19">
        <f t="shared" si="24"/>
        <v>2692.76</v>
      </c>
      <c r="F30" s="19">
        <f t="shared" ref="F30:H30" si="25">F28*F29/10</f>
        <v>2693.0944500000001</v>
      </c>
      <c r="G30" s="19">
        <f t="shared" si="24"/>
        <v>2702.5430000000001</v>
      </c>
      <c r="H30" s="19">
        <f t="shared" si="25"/>
        <v>0</v>
      </c>
      <c r="I30" s="19">
        <f t="shared" ref="I30" si="26">I28*I29/10</f>
        <v>2714.4050999999999</v>
      </c>
      <c r="J30" s="48">
        <f t="shared" si="0"/>
        <v>100.79130718939322</v>
      </c>
      <c r="K30" s="48">
        <f t="shared" si="1"/>
        <v>100.43892363599765</v>
      </c>
      <c r="L30" s="3"/>
    </row>
    <row r="31" spans="1:14" ht="17.25" customHeight="1">
      <c r="A31" s="1" t="s">
        <v>184</v>
      </c>
      <c r="B31" s="100" t="s">
        <v>193</v>
      </c>
      <c r="C31" s="1" t="s">
        <v>20</v>
      </c>
      <c r="D31" s="19">
        <f t="shared" ref="D31:I31" si="27">D34+D37</f>
        <v>961</v>
      </c>
      <c r="E31" s="26">
        <f t="shared" si="27"/>
        <v>969.5</v>
      </c>
      <c r="F31" s="26">
        <f t="shared" si="27"/>
        <v>969.5</v>
      </c>
      <c r="G31" s="26">
        <f t="shared" si="27"/>
        <v>960</v>
      </c>
      <c r="H31" s="26">
        <f t="shared" si="27"/>
        <v>0</v>
      </c>
      <c r="I31" s="26">
        <f t="shared" si="27"/>
        <v>960</v>
      </c>
      <c r="J31" s="48">
        <f t="shared" si="0"/>
        <v>99.020113460546668</v>
      </c>
      <c r="K31" s="48">
        <f t="shared" si="1"/>
        <v>100</v>
      </c>
      <c r="L31" s="3"/>
    </row>
    <row r="32" spans="1:14" ht="17.25" customHeight="1">
      <c r="A32" s="1"/>
      <c r="B32" s="101" t="s">
        <v>11</v>
      </c>
      <c r="C32" s="1" t="s">
        <v>6</v>
      </c>
      <c r="D32" s="30">
        <f t="shared" ref="D32:G32" si="28">D33/D31*10</f>
        <v>41.097685744016658</v>
      </c>
      <c r="E32" s="25">
        <f t="shared" si="28"/>
        <v>40.762842702423939</v>
      </c>
      <c r="F32" s="25">
        <f t="shared" ref="F32" si="29">F33/F31*10</f>
        <v>0</v>
      </c>
      <c r="G32" s="25">
        <f t="shared" si="28"/>
        <v>41.0625</v>
      </c>
      <c r="H32" s="25" t="str">
        <f>IFERROR(H33/H31*10,"")</f>
        <v/>
      </c>
      <c r="I32" s="25">
        <f t="shared" ref="I32" si="30">I33/I31*10</f>
        <v>41.0625</v>
      </c>
      <c r="J32" s="48" t="str">
        <f t="shared" si="0"/>
        <v/>
      </c>
      <c r="K32" s="48">
        <f t="shared" si="1"/>
        <v>100</v>
      </c>
      <c r="L32" s="3"/>
    </row>
    <row r="33" spans="1:12" ht="17.25" customHeight="1">
      <c r="A33" s="1"/>
      <c r="B33" s="101" t="s">
        <v>12</v>
      </c>
      <c r="C33" s="1" t="s">
        <v>47</v>
      </c>
      <c r="D33" s="19">
        <f t="shared" ref="D33:I33" si="31">D36+D39</f>
        <v>3949.4876000000004</v>
      </c>
      <c r="E33" s="26">
        <f t="shared" si="31"/>
        <v>3951.9576000000006</v>
      </c>
      <c r="F33" s="26">
        <f t="shared" si="31"/>
        <v>0</v>
      </c>
      <c r="G33" s="26">
        <f t="shared" si="31"/>
        <v>3942</v>
      </c>
      <c r="H33" s="26">
        <f t="shared" si="31"/>
        <v>0</v>
      </c>
      <c r="I33" s="26">
        <f t="shared" si="31"/>
        <v>3942</v>
      </c>
      <c r="J33" s="48" t="str">
        <f t="shared" si="0"/>
        <v/>
      </c>
      <c r="K33" s="48">
        <f t="shared" si="1"/>
        <v>100</v>
      </c>
      <c r="L33" s="3"/>
    </row>
    <row r="34" spans="1:12" ht="17.25" customHeight="1">
      <c r="A34" s="1"/>
      <c r="B34" s="98" t="s">
        <v>194</v>
      </c>
      <c r="C34" s="1" t="s">
        <v>20</v>
      </c>
      <c r="D34" s="19">
        <v>906.4</v>
      </c>
      <c r="E34" s="30">
        <v>903.3</v>
      </c>
      <c r="F34" s="19">
        <v>903.3</v>
      </c>
      <c r="G34" s="19">
        <v>900</v>
      </c>
      <c r="H34" s="19"/>
      <c r="I34" s="19">
        <v>900</v>
      </c>
      <c r="J34" s="48">
        <f t="shared" si="0"/>
        <v>99.63467286615743</v>
      </c>
      <c r="K34" s="48">
        <f t="shared" si="1"/>
        <v>100</v>
      </c>
      <c r="L34" s="3"/>
    </row>
    <row r="35" spans="1:12" ht="17.25" customHeight="1">
      <c r="A35" s="1"/>
      <c r="B35" s="99" t="s">
        <v>11</v>
      </c>
      <c r="C35" s="1" t="s">
        <v>6</v>
      </c>
      <c r="D35" s="22">
        <v>42.83</v>
      </c>
      <c r="E35" s="30">
        <v>42.84</v>
      </c>
      <c r="F35" s="30"/>
      <c r="G35" s="30">
        <v>43</v>
      </c>
      <c r="H35" s="30"/>
      <c r="I35" s="30">
        <v>43</v>
      </c>
      <c r="J35" s="48" t="str">
        <f t="shared" si="0"/>
        <v/>
      </c>
      <c r="K35" s="48">
        <f t="shared" si="1"/>
        <v>100</v>
      </c>
      <c r="L35" s="3"/>
    </row>
    <row r="36" spans="1:12" ht="17.25" customHeight="1">
      <c r="A36" s="1"/>
      <c r="B36" s="99" t="s">
        <v>12</v>
      </c>
      <c r="C36" s="1" t="s">
        <v>47</v>
      </c>
      <c r="D36" s="19">
        <f>D35*D34/10</f>
        <v>3882.1112000000003</v>
      </c>
      <c r="E36" s="19">
        <f t="shared" ref="E36:G36" si="32">E34*E35/10</f>
        <v>3869.7372000000005</v>
      </c>
      <c r="F36" s="19">
        <f t="shared" ref="F36:H36" si="33">F34*F35/10</f>
        <v>0</v>
      </c>
      <c r="G36" s="19">
        <f t="shared" si="32"/>
        <v>3870</v>
      </c>
      <c r="H36" s="19">
        <f t="shared" si="33"/>
        <v>0</v>
      </c>
      <c r="I36" s="19">
        <f t="shared" ref="I36" si="34">I34*I35/10</f>
        <v>3870</v>
      </c>
      <c r="J36" s="48" t="str">
        <f t="shared" si="0"/>
        <v/>
      </c>
      <c r="K36" s="48">
        <f t="shared" si="1"/>
        <v>99.999999999999986</v>
      </c>
      <c r="L36" s="3"/>
    </row>
    <row r="37" spans="1:12" ht="17.25" customHeight="1">
      <c r="A37" s="1"/>
      <c r="B37" s="98" t="s">
        <v>207</v>
      </c>
      <c r="C37" s="1" t="s">
        <v>20</v>
      </c>
      <c r="D37" s="19">
        <v>54.6</v>
      </c>
      <c r="E37" s="19">
        <v>66.2</v>
      </c>
      <c r="F37" s="19">
        <v>66.2</v>
      </c>
      <c r="G37" s="19">
        <v>60</v>
      </c>
      <c r="H37" s="19"/>
      <c r="I37" s="19">
        <v>60</v>
      </c>
      <c r="J37" s="48">
        <f t="shared" si="0"/>
        <v>90.634441087613283</v>
      </c>
      <c r="K37" s="48">
        <f t="shared" si="1"/>
        <v>100</v>
      </c>
      <c r="L37" s="3"/>
    </row>
    <row r="38" spans="1:12" ht="17.25" customHeight="1">
      <c r="A38" s="1"/>
      <c r="B38" s="99" t="s">
        <v>11</v>
      </c>
      <c r="C38" s="1" t="s">
        <v>6</v>
      </c>
      <c r="D38" s="30">
        <v>12.34</v>
      </c>
      <c r="E38" s="30">
        <v>12.42</v>
      </c>
      <c r="F38" s="30"/>
      <c r="G38" s="30">
        <v>12</v>
      </c>
      <c r="H38" s="30"/>
      <c r="I38" s="30">
        <v>12</v>
      </c>
      <c r="J38" s="48" t="str">
        <f t="shared" si="0"/>
        <v/>
      </c>
      <c r="K38" s="48">
        <f t="shared" si="1"/>
        <v>100</v>
      </c>
      <c r="L38" s="3"/>
    </row>
    <row r="39" spans="1:12" ht="17.25" customHeight="1">
      <c r="A39" s="1"/>
      <c r="B39" s="99" t="s">
        <v>12</v>
      </c>
      <c r="C39" s="1" t="s">
        <v>47</v>
      </c>
      <c r="D39" s="19">
        <f t="shared" ref="D39:G39" si="35">D38*D37/10</f>
        <v>67.376400000000004</v>
      </c>
      <c r="E39" s="19">
        <f t="shared" si="35"/>
        <v>82.220400000000012</v>
      </c>
      <c r="F39" s="19">
        <f t="shared" ref="F39:H39" si="36">F38*F37/10</f>
        <v>0</v>
      </c>
      <c r="G39" s="19">
        <f t="shared" si="35"/>
        <v>72</v>
      </c>
      <c r="H39" s="19">
        <f t="shared" si="36"/>
        <v>0</v>
      </c>
      <c r="I39" s="19">
        <f t="shared" ref="I39" si="37">I38*I37/10</f>
        <v>72</v>
      </c>
      <c r="J39" s="48" t="str">
        <f t="shared" si="0"/>
        <v/>
      </c>
      <c r="K39" s="48">
        <f t="shared" si="1"/>
        <v>100</v>
      </c>
      <c r="L39" s="3"/>
    </row>
    <row r="40" spans="1:12" s="15" customFormat="1" ht="17.25" customHeight="1">
      <c r="A40" s="8" t="s">
        <v>18</v>
      </c>
      <c r="B40" s="36" t="s">
        <v>195</v>
      </c>
      <c r="C40" s="8" t="s">
        <v>20</v>
      </c>
      <c r="D40" s="13">
        <f t="shared" ref="D40:I40" si="38">D43+D46</f>
        <v>90.92</v>
      </c>
      <c r="E40" s="13">
        <f t="shared" si="38"/>
        <v>101.6</v>
      </c>
      <c r="F40" s="13">
        <f t="shared" si="38"/>
        <v>98.42</v>
      </c>
      <c r="G40" s="13">
        <f t="shared" si="38"/>
        <v>83</v>
      </c>
      <c r="H40" s="13">
        <f t="shared" si="38"/>
        <v>25</v>
      </c>
      <c r="I40" s="13">
        <f t="shared" si="38"/>
        <v>85</v>
      </c>
      <c r="J40" s="53">
        <f t="shared" si="0"/>
        <v>86.364560048770585</v>
      </c>
      <c r="K40" s="53">
        <f t="shared" si="1"/>
        <v>102.40963855421687</v>
      </c>
      <c r="L40" s="69"/>
    </row>
    <row r="41" spans="1:12" ht="17.25" customHeight="1">
      <c r="A41" s="1"/>
      <c r="B41" s="29" t="s">
        <v>11</v>
      </c>
      <c r="C41" s="1" t="s">
        <v>6</v>
      </c>
      <c r="D41" s="30">
        <f t="shared" ref="D41:G41" si="39">D42/D40*10</f>
        <v>47.840800703915534</v>
      </c>
      <c r="E41" s="30">
        <f t="shared" si="39"/>
        <v>47.733366141732283</v>
      </c>
      <c r="F41" s="30">
        <f t="shared" ref="F41:H41" si="40">F42/F40*10</f>
        <v>17.085112781954891</v>
      </c>
      <c r="G41" s="30">
        <f t="shared" si="39"/>
        <v>51.385542168674696</v>
      </c>
      <c r="H41" s="30">
        <f t="shared" si="40"/>
        <v>0</v>
      </c>
      <c r="I41" s="30">
        <f t="shared" ref="I41" si="41">I42/I40*10</f>
        <v>52.352941176470587</v>
      </c>
      <c r="J41" s="48">
        <f t="shared" si="0"/>
        <v>306.424323003388</v>
      </c>
      <c r="K41" s="48">
        <f t="shared" si="1"/>
        <v>101.88262878422179</v>
      </c>
      <c r="L41" s="3"/>
    </row>
    <row r="42" spans="1:12" ht="17.25" customHeight="1">
      <c r="A42" s="1"/>
      <c r="B42" s="29" t="s">
        <v>12</v>
      </c>
      <c r="C42" s="1" t="s">
        <v>47</v>
      </c>
      <c r="D42" s="19">
        <f t="shared" ref="D42:I42" si="42">D45+D48</f>
        <v>434.96856000000002</v>
      </c>
      <c r="E42" s="19">
        <f t="shared" si="42"/>
        <v>484.97099999999995</v>
      </c>
      <c r="F42" s="19">
        <f t="shared" si="42"/>
        <v>168.15168000000003</v>
      </c>
      <c r="G42" s="19">
        <f t="shared" si="42"/>
        <v>426.5</v>
      </c>
      <c r="H42" s="19">
        <f t="shared" si="42"/>
        <v>0</v>
      </c>
      <c r="I42" s="19">
        <f t="shared" si="42"/>
        <v>445</v>
      </c>
      <c r="J42" s="48">
        <f t="shared" si="0"/>
        <v>264.64201844429977</v>
      </c>
      <c r="K42" s="48">
        <f t="shared" si="1"/>
        <v>104.33763188745604</v>
      </c>
      <c r="L42" s="3"/>
    </row>
    <row r="43" spans="1:12" ht="17.25" customHeight="1">
      <c r="A43" s="1" t="s">
        <v>185</v>
      </c>
      <c r="B43" s="100" t="s">
        <v>208</v>
      </c>
      <c r="C43" s="1" t="s">
        <v>20</v>
      </c>
      <c r="D43" s="26">
        <v>28.22</v>
      </c>
      <c r="E43" s="26">
        <v>38.700000000000003</v>
      </c>
      <c r="F43" s="26">
        <v>35.520000000000003</v>
      </c>
      <c r="G43" s="26">
        <v>23</v>
      </c>
      <c r="H43" s="26">
        <v>25</v>
      </c>
      <c r="I43" s="26">
        <v>25</v>
      </c>
      <c r="J43" s="48">
        <f t="shared" si="0"/>
        <v>70.382882882882882</v>
      </c>
      <c r="K43" s="48">
        <f t="shared" si="1"/>
        <v>108.69565217391303</v>
      </c>
      <c r="L43" s="3"/>
    </row>
    <row r="44" spans="1:12" ht="17.25" customHeight="1">
      <c r="A44" s="1"/>
      <c r="B44" s="100" t="s">
        <v>11</v>
      </c>
      <c r="C44" s="1" t="s">
        <v>6</v>
      </c>
      <c r="D44" s="25">
        <v>56.13</v>
      </c>
      <c r="E44" s="25">
        <v>47.3</v>
      </c>
      <c r="F44" s="25">
        <v>47.34</v>
      </c>
      <c r="G44" s="25">
        <v>55</v>
      </c>
      <c r="H44" s="25"/>
      <c r="I44" s="25">
        <v>58</v>
      </c>
      <c r="J44" s="48">
        <f t="shared" ref="J44:J68" si="43">IFERROR(I44/F44%,"")</f>
        <v>122.51795521757498</v>
      </c>
      <c r="K44" s="48">
        <f t="shared" ref="K44:K68" si="44">IFERROR(I44/G44%,"")</f>
        <v>105.45454545454544</v>
      </c>
      <c r="L44" s="3"/>
    </row>
    <row r="45" spans="1:12" ht="17.25" customHeight="1">
      <c r="A45" s="1"/>
      <c r="B45" s="101" t="s">
        <v>12</v>
      </c>
      <c r="C45" s="1" t="s">
        <v>47</v>
      </c>
      <c r="D45" s="26">
        <f t="shared" ref="D45:G45" si="45">D44*D43/10</f>
        <v>158.39885999999998</v>
      </c>
      <c r="E45" s="26">
        <f t="shared" si="45"/>
        <v>183.05099999999999</v>
      </c>
      <c r="F45" s="26">
        <f t="shared" ref="F45:H45" si="46">F44*F43/10</f>
        <v>168.15168000000003</v>
      </c>
      <c r="G45" s="26">
        <f t="shared" si="45"/>
        <v>126.5</v>
      </c>
      <c r="H45" s="26">
        <f t="shared" si="46"/>
        <v>0</v>
      </c>
      <c r="I45" s="26">
        <f t="shared" ref="I45" si="47">I44*I43/10</f>
        <v>145</v>
      </c>
      <c r="J45" s="48">
        <f t="shared" si="43"/>
        <v>86.231668931288695</v>
      </c>
      <c r="K45" s="48">
        <f t="shared" si="44"/>
        <v>114.62450592885376</v>
      </c>
      <c r="L45" s="3"/>
    </row>
    <row r="46" spans="1:12" ht="17.25" customHeight="1">
      <c r="A46" s="1" t="s">
        <v>186</v>
      </c>
      <c r="B46" s="100" t="s">
        <v>209</v>
      </c>
      <c r="C46" s="1" t="s">
        <v>20</v>
      </c>
      <c r="D46" s="26">
        <v>62.7</v>
      </c>
      <c r="E46" s="26">
        <v>62.9</v>
      </c>
      <c r="F46" s="26">
        <v>62.9</v>
      </c>
      <c r="G46" s="26">
        <v>60</v>
      </c>
      <c r="H46" s="26"/>
      <c r="I46" s="26">
        <v>60</v>
      </c>
      <c r="J46" s="48">
        <f t="shared" si="43"/>
        <v>95.389507154213035</v>
      </c>
      <c r="K46" s="48">
        <f t="shared" si="44"/>
        <v>100</v>
      </c>
      <c r="L46" s="3"/>
    </row>
    <row r="47" spans="1:12" ht="17.25" customHeight="1">
      <c r="A47" s="1"/>
      <c r="B47" s="100" t="s">
        <v>11</v>
      </c>
      <c r="C47" s="1" t="s">
        <v>6</v>
      </c>
      <c r="D47" s="25">
        <v>44.11</v>
      </c>
      <c r="E47" s="25">
        <v>48</v>
      </c>
      <c r="F47" s="25"/>
      <c r="G47" s="25">
        <v>50</v>
      </c>
      <c r="H47" s="25"/>
      <c r="I47" s="25">
        <v>50</v>
      </c>
      <c r="J47" s="48" t="str">
        <f t="shared" si="43"/>
        <v/>
      </c>
      <c r="K47" s="48">
        <f t="shared" si="44"/>
        <v>100</v>
      </c>
      <c r="L47" s="3"/>
    </row>
    <row r="48" spans="1:12" ht="17.25" customHeight="1">
      <c r="A48" s="1"/>
      <c r="B48" s="101" t="s">
        <v>12</v>
      </c>
      <c r="C48" s="1" t="s">
        <v>47</v>
      </c>
      <c r="D48" s="26">
        <f>D46*D47/10</f>
        <v>276.56970000000001</v>
      </c>
      <c r="E48" s="26">
        <f t="shared" ref="E48:G48" si="48">E47*E46/10</f>
        <v>301.91999999999996</v>
      </c>
      <c r="F48" s="26">
        <f t="shared" ref="F48:H48" si="49">F47*F46/10</f>
        <v>0</v>
      </c>
      <c r="G48" s="26">
        <f t="shared" si="48"/>
        <v>300</v>
      </c>
      <c r="H48" s="26">
        <f t="shared" si="49"/>
        <v>0</v>
      </c>
      <c r="I48" s="26">
        <f t="shared" ref="I48" si="50">I47*I46/10</f>
        <v>300</v>
      </c>
      <c r="J48" s="48" t="str">
        <f t="shared" si="43"/>
        <v/>
      </c>
      <c r="K48" s="48">
        <f t="shared" si="44"/>
        <v>100</v>
      </c>
      <c r="L48" s="3"/>
    </row>
    <row r="49" spans="1:12" ht="19.5" customHeight="1">
      <c r="A49" s="8">
        <v>2</v>
      </c>
      <c r="B49" s="12" t="s">
        <v>13</v>
      </c>
      <c r="C49" s="1" t="s">
        <v>20</v>
      </c>
      <c r="D49" s="24">
        <v>6199.5</v>
      </c>
      <c r="E49" s="24">
        <v>5720.5</v>
      </c>
      <c r="F49" s="24">
        <v>5720.5</v>
      </c>
      <c r="G49" s="24">
        <v>6000</v>
      </c>
      <c r="H49" s="24"/>
      <c r="I49" s="24">
        <v>5700</v>
      </c>
      <c r="J49" s="53">
        <f t="shared" si="43"/>
        <v>99.641639716807973</v>
      </c>
      <c r="K49" s="53">
        <f t="shared" si="44"/>
        <v>95</v>
      </c>
      <c r="L49" s="3"/>
    </row>
    <row r="50" spans="1:12" ht="19.5" customHeight="1">
      <c r="A50" s="31"/>
      <c r="B50" s="29" t="s">
        <v>11</v>
      </c>
      <c r="C50" s="1" t="s">
        <v>6</v>
      </c>
      <c r="D50" s="25">
        <f>D51/D49*10</f>
        <v>148.34260827486088</v>
      </c>
      <c r="E50" s="25">
        <v>148.51</v>
      </c>
      <c r="F50" s="25"/>
      <c r="G50" s="25">
        <v>145</v>
      </c>
      <c r="H50" s="25"/>
      <c r="I50" s="25"/>
      <c r="J50" s="53" t="str">
        <f t="shared" si="43"/>
        <v/>
      </c>
      <c r="K50" s="53">
        <f t="shared" si="44"/>
        <v>0</v>
      </c>
      <c r="L50" s="3"/>
    </row>
    <row r="51" spans="1:12" ht="19.5" customHeight="1">
      <c r="A51" s="31"/>
      <c r="B51" s="29" t="s">
        <v>12</v>
      </c>
      <c r="C51" s="1" t="s">
        <v>47</v>
      </c>
      <c r="D51" s="26">
        <v>91965</v>
      </c>
      <c r="E51" s="26">
        <f>E50*E49/10</f>
        <v>84955.145499999999</v>
      </c>
      <c r="F51" s="26">
        <f>F50*F49/10</f>
        <v>0</v>
      </c>
      <c r="G51" s="26">
        <f>G50*G49/10</f>
        <v>87000</v>
      </c>
      <c r="H51" s="26">
        <f>H50*H49/10</f>
        <v>0</v>
      </c>
      <c r="I51" s="26">
        <f>I50*I49/10</f>
        <v>0</v>
      </c>
      <c r="J51" s="53" t="str">
        <f t="shared" si="43"/>
        <v/>
      </c>
      <c r="K51" s="53">
        <f t="shared" si="44"/>
        <v>0</v>
      </c>
      <c r="L51" s="3"/>
    </row>
    <row r="52" spans="1:12" s="15" customFormat="1" ht="19.5" customHeight="1">
      <c r="A52" s="8">
        <v>3</v>
      </c>
      <c r="B52" s="12" t="s">
        <v>114</v>
      </c>
      <c r="C52" s="8" t="s">
        <v>20</v>
      </c>
      <c r="D52" s="24">
        <v>9.1999999999999993</v>
      </c>
      <c r="E52" s="24">
        <v>10.5</v>
      </c>
      <c r="F52" s="24">
        <v>10.5</v>
      </c>
      <c r="G52" s="24">
        <v>30</v>
      </c>
      <c r="H52" s="24">
        <v>29.1</v>
      </c>
      <c r="I52" s="24">
        <v>29.1</v>
      </c>
      <c r="J52" s="53">
        <f t="shared" si="43"/>
        <v>277.14285714285717</v>
      </c>
      <c r="K52" s="53">
        <f t="shared" si="44"/>
        <v>97.000000000000014</v>
      </c>
      <c r="L52" s="69"/>
    </row>
    <row r="53" spans="1:12" ht="19.5" customHeight="1">
      <c r="A53" s="1"/>
      <c r="B53" s="27" t="s">
        <v>53</v>
      </c>
      <c r="C53" s="1" t="s">
        <v>20</v>
      </c>
      <c r="D53" s="26"/>
      <c r="E53" s="26"/>
      <c r="F53" s="26"/>
      <c r="G53" s="26">
        <v>20</v>
      </c>
      <c r="H53" s="26">
        <v>19.100000000000001</v>
      </c>
      <c r="I53" s="26">
        <v>19.100000000000001</v>
      </c>
      <c r="J53" s="48" t="str">
        <f t="shared" si="43"/>
        <v/>
      </c>
      <c r="K53" s="48">
        <f t="shared" si="44"/>
        <v>95.5</v>
      </c>
      <c r="L53" s="3"/>
    </row>
    <row r="54" spans="1:12" ht="19.5" customHeight="1">
      <c r="A54" s="31"/>
      <c r="B54" s="29" t="s">
        <v>11</v>
      </c>
      <c r="C54" s="1" t="s">
        <v>6</v>
      </c>
      <c r="D54" s="25"/>
      <c r="E54" s="25">
        <v>600</v>
      </c>
      <c r="F54" s="25"/>
      <c r="G54" s="25">
        <v>733.3</v>
      </c>
      <c r="H54" s="25"/>
      <c r="I54" s="25"/>
      <c r="J54" s="48" t="str">
        <f t="shared" si="43"/>
        <v/>
      </c>
      <c r="K54" s="48">
        <f t="shared" si="44"/>
        <v>0</v>
      </c>
      <c r="L54" s="3"/>
    </row>
    <row r="55" spans="1:12" ht="19.5" customHeight="1">
      <c r="A55" s="31"/>
      <c r="B55" s="29" t="s">
        <v>12</v>
      </c>
      <c r="C55" s="1" t="s">
        <v>47</v>
      </c>
      <c r="D55" s="26">
        <f t="shared" ref="D55:I55" si="51">D54*D52/10</f>
        <v>0</v>
      </c>
      <c r="E55" s="26">
        <f t="shared" si="51"/>
        <v>630</v>
      </c>
      <c r="F55" s="26">
        <f t="shared" si="51"/>
        <v>0</v>
      </c>
      <c r="G55" s="26">
        <f t="shared" si="51"/>
        <v>2199.9</v>
      </c>
      <c r="H55" s="26">
        <f t="shared" si="51"/>
        <v>0</v>
      </c>
      <c r="I55" s="26">
        <f t="shared" si="51"/>
        <v>0</v>
      </c>
      <c r="J55" s="48" t="str">
        <f t="shared" si="43"/>
        <v/>
      </c>
      <c r="K55" s="48">
        <f t="shared" si="44"/>
        <v>0</v>
      </c>
      <c r="L55" s="3"/>
    </row>
    <row r="56" spans="1:12" ht="19.5" customHeight="1">
      <c r="A56" s="8">
        <v>4</v>
      </c>
      <c r="B56" s="12" t="s">
        <v>60</v>
      </c>
      <c r="C56" s="1" t="s">
        <v>20</v>
      </c>
      <c r="D56" s="24">
        <f t="shared" ref="D56:I56" si="52">D59+D62</f>
        <v>219.3</v>
      </c>
      <c r="E56" s="24">
        <f t="shared" si="52"/>
        <v>259</v>
      </c>
      <c r="F56" s="24">
        <f t="shared" si="52"/>
        <v>190.95</v>
      </c>
      <c r="G56" s="24">
        <f t="shared" si="52"/>
        <v>230</v>
      </c>
      <c r="H56" s="24">
        <f t="shared" si="52"/>
        <v>115.8</v>
      </c>
      <c r="I56" s="24">
        <f t="shared" si="52"/>
        <v>185.8</v>
      </c>
      <c r="J56" s="53">
        <f t="shared" si="43"/>
        <v>97.302958889761726</v>
      </c>
      <c r="K56" s="53">
        <f t="shared" si="44"/>
        <v>80.782608695652186</v>
      </c>
      <c r="L56" s="3"/>
    </row>
    <row r="57" spans="1:12" ht="19.5" customHeight="1">
      <c r="A57" s="31"/>
      <c r="B57" s="29" t="s">
        <v>11</v>
      </c>
      <c r="C57" s="1" t="s">
        <v>6</v>
      </c>
      <c r="D57" s="25">
        <f t="shared" ref="D57:G57" si="53">D58/D56*10</f>
        <v>119.96580027359781</v>
      </c>
      <c r="E57" s="25">
        <f t="shared" si="53"/>
        <v>134.57142857142858</v>
      </c>
      <c r="F57" s="25">
        <f t="shared" ref="F57:H57" si="54">F58/F56*10</f>
        <v>83.210627913066276</v>
      </c>
      <c r="G57" s="25">
        <f t="shared" si="53"/>
        <v>136.63173913043477</v>
      </c>
      <c r="H57" s="25">
        <f t="shared" si="54"/>
        <v>0</v>
      </c>
      <c r="I57" s="25">
        <f t="shared" ref="I57" si="55">I58/I56*10</f>
        <v>94.734122712594186</v>
      </c>
      <c r="J57" s="48">
        <f t="shared" si="43"/>
        <v>113.84858531721093</v>
      </c>
      <c r="K57" s="48">
        <f t="shared" si="44"/>
        <v>69.335370621431352</v>
      </c>
      <c r="L57" s="3"/>
    </row>
    <row r="58" spans="1:12" ht="19.5" customHeight="1">
      <c r="A58" s="31"/>
      <c r="B58" s="29" t="s">
        <v>12</v>
      </c>
      <c r="C58" s="1" t="s">
        <v>47</v>
      </c>
      <c r="D58" s="26">
        <f t="shared" ref="D58:I58" si="56">D61+D64</f>
        <v>2630.85</v>
      </c>
      <c r="E58" s="26">
        <f t="shared" si="56"/>
        <v>3485.4</v>
      </c>
      <c r="F58" s="26">
        <f t="shared" si="56"/>
        <v>1588.9069400000003</v>
      </c>
      <c r="G58" s="26">
        <f t="shared" si="56"/>
        <v>3142.5299999999997</v>
      </c>
      <c r="H58" s="26">
        <f t="shared" si="56"/>
        <v>0</v>
      </c>
      <c r="I58" s="26">
        <f t="shared" si="56"/>
        <v>1760.1599999999999</v>
      </c>
      <c r="J58" s="48">
        <f t="shared" si="43"/>
        <v>110.77804216778104</v>
      </c>
      <c r="K58" s="48">
        <f t="shared" si="44"/>
        <v>56.010921136791062</v>
      </c>
      <c r="L58" s="3"/>
    </row>
    <row r="59" spans="1:12" ht="19.5" customHeight="1">
      <c r="A59" s="1"/>
      <c r="B59" s="118" t="s">
        <v>210</v>
      </c>
      <c r="C59" s="18" t="s">
        <v>20</v>
      </c>
      <c r="D59" s="19">
        <v>97.3</v>
      </c>
      <c r="E59" s="19">
        <v>137</v>
      </c>
      <c r="F59" s="19">
        <v>120.95</v>
      </c>
      <c r="G59" s="19">
        <v>123</v>
      </c>
      <c r="H59" s="19">
        <v>115.8</v>
      </c>
      <c r="I59" s="19">
        <v>115.8</v>
      </c>
      <c r="J59" s="48">
        <f t="shared" si="43"/>
        <v>95.742042166184376</v>
      </c>
      <c r="K59" s="48">
        <f t="shared" si="44"/>
        <v>94.146341463414629</v>
      </c>
      <c r="L59" s="3"/>
    </row>
    <row r="60" spans="1:12" ht="19.5" customHeight="1">
      <c r="A60" s="1"/>
      <c r="B60" s="118" t="s">
        <v>11</v>
      </c>
      <c r="C60" s="18" t="s">
        <v>6</v>
      </c>
      <c r="D60" s="30">
        <v>145</v>
      </c>
      <c r="E60" s="30">
        <v>152</v>
      </c>
      <c r="F60" s="30">
        <v>131.36890781314594</v>
      </c>
      <c r="G60" s="30">
        <v>151.1</v>
      </c>
      <c r="H60" s="30"/>
      <c r="I60" s="30">
        <v>152</v>
      </c>
      <c r="J60" s="48">
        <f t="shared" si="43"/>
        <v>115.70469948353299</v>
      </c>
      <c r="K60" s="48">
        <f t="shared" si="44"/>
        <v>100.59563203176705</v>
      </c>
      <c r="L60" s="3"/>
    </row>
    <row r="61" spans="1:12" ht="19.5" customHeight="1">
      <c r="A61" s="1"/>
      <c r="B61" s="118" t="s">
        <v>12</v>
      </c>
      <c r="C61" s="18" t="s">
        <v>47</v>
      </c>
      <c r="D61" s="19">
        <f t="shared" ref="D61:G61" si="57">D60*D59/10</f>
        <v>1410.85</v>
      </c>
      <c r="E61" s="19">
        <f t="shared" si="57"/>
        <v>2082.4</v>
      </c>
      <c r="F61" s="19">
        <f t="shared" ref="F61:H61" si="58">F60*F59/10</f>
        <v>1588.9069400000003</v>
      </c>
      <c r="G61" s="19">
        <f t="shared" si="57"/>
        <v>1858.53</v>
      </c>
      <c r="H61" s="19">
        <f t="shared" si="58"/>
        <v>0</v>
      </c>
      <c r="I61" s="19">
        <f t="shared" ref="I61" si="59">I60*I59/10</f>
        <v>1760.1599999999999</v>
      </c>
      <c r="J61" s="48">
        <f t="shared" si="43"/>
        <v>110.77804216778104</v>
      </c>
      <c r="K61" s="48">
        <f t="shared" si="44"/>
        <v>94.707107229907493</v>
      </c>
      <c r="L61" s="3"/>
    </row>
    <row r="62" spans="1:12" ht="19.5" customHeight="1">
      <c r="A62" s="1"/>
      <c r="B62" s="118" t="s">
        <v>211</v>
      </c>
      <c r="C62" s="18" t="s">
        <v>20</v>
      </c>
      <c r="D62" s="19">
        <v>122</v>
      </c>
      <c r="E62" s="19">
        <v>122</v>
      </c>
      <c r="F62" s="19">
        <v>70</v>
      </c>
      <c r="G62" s="19">
        <v>107</v>
      </c>
      <c r="H62" s="19"/>
      <c r="I62" s="19">
        <v>70</v>
      </c>
      <c r="J62" s="48">
        <f t="shared" si="43"/>
        <v>100</v>
      </c>
      <c r="K62" s="48">
        <f t="shared" si="44"/>
        <v>65.420560747663544</v>
      </c>
      <c r="L62" s="3"/>
    </row>
    <row r="63" spans="1:12" ht="19.5" customHeight="1">
      <c r="A63" s="1"/>
      <c r="B63" s="118" t="s">
        <v>11</v>
      </c>
      <c r="C63" s="18" t="s">
        <v>6</v>
      </c>
      <c r="D63" s="30">
        <v>100</v>
      </c>
      <c r="E63" s="30">
        <v>115</v>
      </c>
      <c r="F63" s="30"/>
      <c r="G63" s="30">
        <v>120</v>
      </c>
      <c r="H63" s="30"/>
      <c r="I63" s="30"/>
      <c r="J63" s="48" t="str">
        <f t="shared" si="43"/>
        <v/>
      </c>
      <c r="K63" s="48">
        <f t="shared" si="44"/>
        <v>0</v>
      </c>
      <c r="L63" s="3"/>
    </row>
    <row r="64" spans="1:12" ht="19.5" customHeight="1">
      <c r="A64" s="1"/>
      <c r="B64" s="118" t="s">
        <v>12</v>
      </c>
      <c r="C64" s="18" t="s">
        <v>47</v>
      </c>
      <c r="D64" s="19">
        <f t="shared" ref="D64:G64" si="60">D63*D62/10</f>
        <v>1220</v>
      </c>
      <c r="E64" s="19">
        <f t="shared" si="60"/>
        <v>1403</v>
      </c>
      <c r="F64" s="19">
        <f t="shared" ref="F64:H64" si="61">F63*F62/10</f>
        <v>0</v>
      </c>
      <c r="G64" s="19">
        <f t="shared" si="60"/>
        <v>1284</v>
      </c>
      <c r="H64" s="19">
        <f t="shared" si="61"/>
        <v>0</v>
      </c>
      <c r="I64" s="19">
        <f t="shared" ref="I64" si="62">I63*I62/10</f>
        <v>0</v>
      </c>
      <c r="J64" s="48" t="str">
        <f t="shared" si="43"/>
        <v/>
      </c>
      <c r="K64" s="48">
        <f t="shared" si="44"/>
        <v>0</v>
      </c>
      <c r="L64" s="3"/>
    </row>
    <row r="65" spans="1:13" s="15" customFormat="1" ht="31.2">
      <c r="A65" s="8">
        <v>5</v>
      </c>
      <c r="B65" s="12" t="s">
        <v>179</v>
      </c>
      <c r="C65" s="8" t="s">
        <v>20</v>
      </c>
      <c r="D65" s="28">
        <f t="shared" ref="D65:E65" si="63">SUM(D66:D68)</f>
        <v>7.5</v>
      </c>
      <c r="E65" s="28">
        <f t="shared" si="63"/>
        <v>31.2</v>
      </c>
      <c r="F65" s="28">
        <f>SUM(F66:F69)</f>
        <v>13</v>
      </c>
      <c r="G65" s="28">
        <f t="shared" ref="G65:I65" si="64">SUM(G66:G69)</f>
        <v>32</v>
      </c>
      <c r="H65" s="28">
        <f t="shared" si="64"/>
        <v>0</v>
      </c>
      <c r="I65" s="28">
        <f t="shared" si="64"/>
        <v>32</v>
      </c>
      <c r="J65" s="53">
        <f t="shared" si="43"/>
        <v>246.15384615384613</v>
      </c>
      <c r="K65" s="53">
        <f t="shared" si="44"/>
        <v>100</v>
      </c>
      <c r="L65" s="69"/>
    </row>
    <row r="66" spans="1:13" s="88" customFormat="1" ht="19.5" hidden="1" customHeight="1" outlineLevel="1">
      <c r="A66" s="84"/>
      <c r="B66" s="85" t="s">
        <v>170</v>
      </c>
      <c r="C66" s="84" t="s">
        <v>20</v>
      </c>
      <c r="D66" s="133">
        <v>3.7</v>
      </c>
      <c r="E66" s="133">
        <v>4</v>
      </c>
      <c r="F66" s="133">
        <v>2</v>
      </c>
      <c r="G66" s="133">
        <v>4</v>
      </c>
      <c r="H66" s="133"/>
      <c r="I66" s="133">
        <v>4</v>
      </c>
      <c r="J66" s="87">
        <f t="shared" si="43"/>
        <v>200</v>
      </c>
      <c r="K66" s="87">
        <f t="shared" si="44"/>
        <v>100</v>
      </c>
      <c r="L66" s="111"/>
    </row>
    <row r="67" spans="1:13" s="88" customFormat="1" ht="19.5" hidden="1" customHeight="1" outlineLevel="1">
      <c r="A67" s="84"/>
      <c r="B67" s="85" t="s">
        <v>171</v>
      </c>
      <c r="C67" s="84" t="s">
        <v>20</v>
      </c>
      <c r="D67" s="133">
        <v>3.8</v>
      </c>
      <c r="E67" s="133">
        <v>4</v>
      </c>
      <c r="F67" s="133"/>
      <c r="G67" s="133">
        <v>4</v>
      </c>
      <c r="H67" s="133"/>
      <c r="I67" s="133">
        <v>4</v>
      </c>
      <c r="J67" s="87" t="str">
        <f t="shared" si="43"/>
        <v/>
      </c>
      <c r="K67" s="87">
        <f t="shared" si="44"/>
        <v>100</v>
      </c>
      <c r="L67" s="111"/>
    </row>
    <row r="68" spans="1:13" s="88" customFormat="1" ht="19.5" hidden="1" customHeight="1" outlineLevel="1">
      <c r="A68" s="84"/>
      <c r="B68" s="85" t="s">
        <v>172</v>
      </c>
      <c r="C68" s="84" t="s">
        <v>20</v>
      </c>
      <c r="D68" s="133"/>
      <c r="E68" s="133">
        <v>23.2</v>
      </c>
      <c r="F68" s="133"/>
      <c r="G68" s="133">
        <v>24</v>
      </c>
      <c r="H68" s="133"/>
      <c r="I68" s="133">
        <v>24</v>
      </c>
      <c r="J68" s="87" t="str">
        <f t="shared" si="43"/>
        <v/>
      </c>
      <c r="K68" s="87">
        <f t="shared" si="44"/>
        <v>100</v>
      </c>
      <c r="L68" s="111"/>
    </row>
    <row r="69" spans="1:13" s="88" customFormat="1" ht="19.5" hidden="1" customHeight="1" outlineLevel="1">
      <c r="A69" s="84"/>
      <c r="B69" s="85" t="s">
        <v>249</v>
      </c>
      <c r="C69" s="84" t="s">
        <v>20</v>
      </c>
      <c r="D69" s="133"/>
      <c r="E69" s="133"/>
      <c r="F69" s="133">
        <v>11</v>
      </c>
      <c r="G69" s="133"/>
      <c r="H69" s="133"/>
      <c r="I69" s="133"/>
      <c r="J69" s="87">
        <f t="shared" ref="J69" si="65">IFERROR(I69/F69%,"")</f>
        <v>0</v>
      </c>
      <c r="K69" s="87" t="str">
        <f t="shared" ref="K69" si="66">IFERROR(I69/G69%,"")</f>
        <v/>
      </c>
      <c r="L69" s="111"/>
    </row>
    <row r="70" spans="1:13" ht="17.25" customHeight="1" collapsed="1">
      <c r="A70" s="21" t="s">
        <v>22</v>
      </c>
      <c r="B70" s="12" t="s">
        <v>52</v>
      </c>
      <c r="C70" s="8" t="s">
        <v>20</v>
      </c>
      <c r="D70" s="24">
        <f t="shared" ref="D70:G70" si="67">D71+D83+D84</f>
        <v>9814</v>
      </c>
      <c r="E70" s="24">
        <f t="shared" si="67"/>
        <v>10071.6</v>
      </c>
      <c r="F70" s="24">
        <f t="shared" ref="F70:H70" si="68">F71+F83+F84</f>
        <v>9777.2000000000007</v>
      </c>
      <c r="G70" s="24">
        <f t="shared" si="67"/>
        <v>10122.1</v>
      </c>
      <c r="H70" s="24">
        <f t="shared" si="68"/>
        <v>9677.2000000000007</v>
      </c>
      <c r="I70" s="24">
        <f t="shared" ref="I70" si="69">I71+I83+I84</f>
        <v>9730.2000000000007</v>
      </c>
      <c r="J70" s="53">
        <f t="shared" ref="J70:J89" si="70">IFERROR(I70/F70%,"")</f>
        <v>99.519289776214052</v>
      </c>
      <c r="K70" s="53">
        <f t="shared" ref="K70:K89" si="71">IFERROR(I70/G70%,"")</f>
        <v>96.128273777180624</v>
      </c>
      <c r="L70" s="3"/>
    </row>
    <row r="71" spans="1:13" s="15" customFormat="1" ht="17.25" customHeight="1">
      <c r="A71" s="21">
        <v>1</v>
      </c>
      <c r="B71" s="20" t="s">
        <v>199</v>
      </c>
      <c r="C71" s="8" t="s">
        <v>20</v>
      </c>
      <c r="D71" s="24">
        <f t="shared" ref="D71:G71" si="72">D72+D77</f>
        <v>9537.2999999999993</v>
      </c>
      <c r="E71" s="24">
        <f t="shared" si="72"/>
        <v>9722.1</v>
      </c>
      <c r="F71" s="24">
        <f t="shared" ref="F71:H71" si="73">F72+F77</f>
        <v>9722.6</v>
      </c>
      <c r="G71" s="24">
        <f t="shared" si="72"/>
        <v>9772.1</v>
      </c>
      <c r="H71" s="24">
        <f t="shared" si="73"/>
        <v>9677.2000000000007</v>
      </c>
      <c r="I71" s="24">
        <f t="shared" ref="I71" si="74">I72+I77</f>
        <v>9730.2000000000007</v>
      </c>
      <c r="J71" s="53">
        <f t="shared" si="70"/>
        <v>100.07816839117109</v>
      </c>
      <c r="K71" s="53">
        <f t="shared" si="71"/>
        <v>99.571228292792753</v>
      </c>
      <c r="L71" s="69"/>
    </row>
    <row r="72" spans="1:13" s="15" customFormat="1" ht="17.25" customHeight="1">
      <c r="A72" s="8" t="s">
        <v>17</v>
      </c>
      <c r="B72" s="12" t="s">
        <v>196</v>
      </c>
      <c r="C72" s="8" t="s">
        <v>20</v>
      </c>
      <c r="D72" s="13">
        <v>1743.8</v>
      </c>
      <c r="E72" s="13">
        <f>D72+E73</f>
        <v>1919.5</v>
      </c>
      <c r="F72" s="13">
        <v>1920</v>
      </c>
      <c r="G72" s="13">
        <f>E72+G73</f>
        <v>1969.5</v>
      </c>
      <c r="H72" s="13">
        <f>E72+H73</f>
        <v>1919.5</v>
      </c>
      <c r="I72" s="13">
        <f>E72+I73</f>
        <v>1969.5</v>
      </c>
      <c r="J72" s="53">
        <f t="shared" si="70"/>
        <v>102.578125</v>
      </c>
      <c r="K72" s="53">
        <f t="shared" si="71"/>
        <v>100</v>
      </c>
      <c r="L72" s="69"/>
    </row>
    <row r="73" spans="1:13" ht="17.25" customHeight="1">
      <c r="A73" s="1"/>
      <c r="B73" s="17" t="s">
        <v>53</v>
      </c>
      <c r="C73" s="1" t="s">
        <v>20</v>
      </c>
      <c r="D73" s="30">
        <v>185.9</v>
      </c>
      <c r="E73" s="30">
        <v>175.7</v>
      </c>
      <c r="F73" s="30">
        <v>175.7</v>
      </c>
      <c r="G73" s="30">
        <v>50</v>
      </c>
      <c r="H73" s="30"/>
      <c r="I73" s="30">
        <v>50</v>
      </c>
      <c r="J73" s="48">
        <f t="shared" si="70"/>
        <v>28.457598178713717</v>
      </c>
      <c r="K73" s="48">
        <f t="shared" si="71"/>
        <v>100</v>
      </c>
      <c r="L73" s="3"/>
    </row>
    <row r="74" spans="1:13" ht="17.25" customHeight="1">
      <c r="A74" s="1"/>
      <c r="B74" s="17" t="s">
        <v>54</v>
      </c>
      <c r="C74" s="1" t="s">
        <v>20</v>
      </c>
      <c r="D74" s="19">
        <v>1246</v>
      </c>
      <c r="E74" s="19">
        <v>1384</v>
      </c>
      <c r="F74" s="19">
        <v>1353</v>
      </c>
      <c r="G74" s="19">
        <v>1559</v>
      </c>
      <c r="H74" s="19"/>
      <c r="I74" s="19">
        <v>1559</v>
      </c>
      <c r="J74" s="48">
        <f t="shared" si="70"/>
        <v>115.22542498152255</v>
      </c>
      <c r="K74" s="48">
        <f t="shared" si="71"/>
        <v>100</v>
      </c>
      <c r="L74" s="3"/>
      <c r="M74" s="67"/>
    </row>
    <row r="75" spans="1:13" ht="17.25" customHeight="1">
      <c r="A75" s="1"/>
      <c r="B75" s="17" t="s">
        <v>55</v>
      </c>
      <c r="C75" s="1" t="s">
        <v>6</v>
      </c>
      <c r="D75" s="30">
        <v>31.73</v>
      </c>
      <c r="E75" s="30">
        <v>35.65</v>
      </c>
      <c r="F75" s="30"/>
      <c r="G75" s="30">
        <v>35</v>
      </c>
      <c r="H75" s="30"/>
      <c r="I75" s="30"/>
      <c r="J75" s="48" t="str">
        <f t="shared" si="70"/>
        <v/>
      </c>
      <c r="K75" s="48">
        <f t="shared" si="71"/>
        <v>0</v>
      </c>
      <c r="L75" s="3"/>
    </row>
    <row r="76" spans="1:13" ht="17.25" customHeight="1">
      <c r="A76" s="1"/>
      <c r="B76" s="17" t="s">
        <v>115</v>
      </c>
      <c r="C76" s="1" t="s">
        <v>47</v>
      </c>
      <c r="D76" s="19">
        <f t="shared" ref="D76:I76" si="75">D74*D75/10</f>
        <v>3953.558</v>
      </c>
      <c r="E76" s="19">
        <f t="shared" si="75"/>
        <v>4933.96</v>
      </c>
      <c r="F76" s="19">
        <f t="shared" si="75"/>
        <v>0</v>
      </c>
      <c r="G76" s="19">
        <f t="shared" si="75"/>
        <v>5456.5</v>
      </c>
      <c r="H76" s="19">
        <f t="shared" si="75"/>
        <v>0</v>
      </c>
      <c r="I76" s="19">
        <f t="shared" si="75"/>
        <v>0</v>
      </c>
      <c r="J76" s="48" t="str">
        <f t="shared" si="70"/>
        <v/>
      </c>
      <c r="K76" s="48">
        <f t="shared" si="71"/>
        <v>0</v>
      </c>
      <c r="L76" s="3"/>
    </row>
    <row r="77" spans="1:13" s="15" customFormat="1" ht="17.25" customHeight="1">
      <c r="A77" s="8" t="s">
        <v>18</v>
      </c>
      <c r="B77" s="12" t="s">
        <v>197</v>
      </c>
      <c r="C77" s="8" t="s">
        <v>20</v>
      </c>
      <c r="D77" s="13">
        <v>7793.5</v>
      </c>
      <c r="E77" s="13">
        <f>D77+E78-E79</f>
        <v>7802.6</v>
      </c>
      <c r="F77" s="13">
        <f>E77</f>
        <v>7802.6</v>
      </c>
      <c r="G77" s="13">
        <f>E77+G78-G79</f>
        <v>7802.6</v>
      </c>
      <c r="H77" s="13">
        <f>E77+H78-H79</f>
        <v>7757.7000000000007</v>
      </c>
      <c r="I77" s="13">
        <f>E77+I78-I79</f>
        <v>7760.7000000000007</v>
      </c>
      <c r="J77" s="53">
        <f t="shared" si="70"/>
        <v>99.462999512982847</v>
      </c>
      <c r="K77" s="53">
        <f t="shared" si="71"/>
        <v>99.462999512982847</v>
      </c>
      <c r="L77" s="69"/>
    </row>
    <row r="78" spans="1:13" ht="17.25" customHeight="1">
      <c r="A78" s="1"/>
      <c r="B78" s="17" t="s">
        <v>53</v>
      </c>
      <c r="C78" s="1" t="s">
        <v>20</v>
      </c>
      <c r="D78" s="35">
        <v>0</v>
      </c>
      <c r="E78" s="25">
        <v>24.6</v>
      </c>
      <c r="F78" s="35">
        <v>24.6</v>
      </c>
      <c r="G78" s="35"/>
      <c r="H78" s="35"/>
      <c r="I78" s="35">
        <v>3</v>
      </c>
      <c r="J78" s="48">
        <f t="shared" si="70"/>
        <v>12.195121951219511</v>
      </c>
      <c r="K78" s="48" t="str">
        <f t="shared" si="71"/>
        <v/>
      </c>
      <c r="L78" s="3"/>
    </row>
    <row r="79" spans="1:13" ht="17.25" customHeight="1">
      <c r="A79" s="1"/>
      <c r="B79" s="17" t="s">
        <v>116</v>
      </c>
      <c r="C79" s="1" t="s">
        <v>20</v>
      </c>
      <c r="D79" s="25">
        <v>81.5</v>
      </c>
      <c r="E79" s="25">
        <v>15.5</v>
      </c>
      <c r="F79" s="35">
        <v>15.5</v>
      </c>
      <c r="G79" s="35"/>
      <c r="H79" s="35">
        <v>44.9</v>
      </c>
      <c r="I79" s="35">
        <v>44.9</v>
      </c>
      <c r="J79" s="48">
        <f t="shared" si="70"/>
        <v>289.67741935483872</v>
      </c>
      <c r="K79" s="48" t="str">
        <f t="shared" si="71"/>
        <v/>
      </c>
      <c r="L79" s="3"/>
    </row>
    <row r="80" spans="1:13" ht="17.25" customHeight="1">
      <c r="A80" s="1"/>
      <c r="B80" s="17" t="s">
        <v>54</v>
      </c>
      <c r="C80" s="1" t="s">
        <v>20</v>
      </c>
      <c r="D80" s="19">
        <v>4821</v>
      </c>
      <c r="E80" s="19">
        <v>5385</v>
      </c>
      <c r="F80" s="19">
        <v>5352</v>
      </c>
      <c r="G80" s="19">
        <v>5755</v>
      </c>
      <c r="H80" s="19">
        <f>G80-24.9</f>
        <v>5730.1</v>
      </c>
      <c r="I80" s="19">
        <f>H80</f>
        <v>5730.1</v>
      </c>
      <c r="J80" s="48">
        <f t="shared" si="70"/>
        <v>107.06464872944693</v>
      </c>
      <c r="K80" s="48">
        <f t="shared" si="71"/>
        <v>99.567332754126852</v>
      </c>
      <c r="L80" s="3"/>
    </row>
    <row r="81" spans="1:14" ht="17.25" customHeight="1">
      <c r="A81" s="1"/>
      <c r="B81" s="17" t="s">
        <v>56</v>
      </c>
      <c r="C81" s="1" t="s">
        <v>6</v>
      </c>
      <c r="D81" s="30">
        <v>12.33</v>
      </c>
      <c r="E81" s="30">
        <v>12.35</v>
      </c>
      <c r="F81" s="30"/>
      <c r="G81" s="30">
        <v>12.5</v>
      </c>
      <c r="H81" s="30"/>
      <c r="I81" s="30"/>
      <c r="J81" s="48" t="str">
        <f t="shared" si="70"/>
        <v/>
      </c>
      <c r="K81" s="48">
        <f t="shared" si="71"/>
        <v>0</v>
      </c>
      <c r="L81" s="3"/>
    </row>
    <row r="82" spans="1:14" ht="17.25" customHeight="1">
      <c r="A82" s="1"/>
      <c r="B82" s="17" t="s">
        <v>225</v>
      </c>
      <c r="C82" s="1" t="s">
        <v>47</v>
      </c>
      <c r="D82" s="19">
        <f t="shared" ref="D82:I82" si="76">D80*D81/10</f>
        <v>5944.2929999999997</v>
      </c>
      <c r="E82" s="19">
        <f t="shared" si="76"/>
        <v>6650.4750000000004</v>
      </c>
      <c r="F82" s="19">
        <f t="shared" si="76"/>
        <v>0</v>
      </c>
      <c r="G82" s="19">
        <f t="shared" si="76"/>
        <v>7193.75</v>
      </c>
      <c r="H82" s="19">
        <f t="shared" si="76"/>
        <v>0</v>
      </c>
      <c r="I82" s="19">
        <f t="shared" si="76"/>
        <v>0</v>
      </c>
      <c r="J82" s="48" t="str">
        <f t="shared" si="70"/>
        <v/>
      </c>
      <c r="K82" s="48">
        <f t="shared" si="71"/>
        <v>0</v>
      </c>
      <c r="L82" s="3"/>
    </row>
    <row r="83" spans="1:14" s="15" customFormat="1" ht="17.25" customHeight="1">
      <c r="A83" s="8">
        <v>2</v>
      </c>
      <c r="B83" s="12" t="s">
        <v>78</v>
      </c>
      <c r="C83" s="8" t="s">
        <v>20</v>
      </c>
      <c r="D83" s="13">
        <v>155.19999999999999</v>
      </c>
      <c r="E83" s="13">
        <v>218.9</v>
      </c>
      <c r="F83" s="13"/>
      <c r="G83" s="13">
        <v>220</v>
      </c>
      <c r="H83" s="13"/>
      <c r="I83" s="13"/>
      <c r="J83" s="53" t="str">
        <f t="shared" si="70"/>
        <v/>
      </c>
      <c r="K83" s="53">
        <f t="shared" si="71"/>
        <v>0</v>
      </c>
      <c r="L83" s="69"/>
    </row>
    <row r="84" spans="1:14" s="15" customFormat="1" ht="31.2">
      <c r="A84" s="8">
        <v>3</v>
      </c>
      <c r="B84" s="12" t="s">
        <v>178</v>
      </c>
      <c r="C84" s="8" t="s">
        <v>20</v>
      </c>
      <c r="D84" s="13">
        <f t="shared" ref="D84:G84" si="77">SUM(D85:D89)</f>
        <v>121.5</v>
      </c>
      <c r="E84" s="13">
        <f t="shared" si="77"/>
        <v>130.60000000000002</v>
      </c>
      <c r="F84" s="13">
        <f t="shared" ref="F84:H84" si="78">SUM(F85:F89)</f>
        <v>54.6</v>
      </c>
      <c r="G84" s="13">
        <f t="shared" si="77"/>
        <v>130</v>
      </c>
      <c r="H84" s="13">
        <f t="shared" si="78"/>
        <v>0</v>
      </c>
      <c r="I84" s="13">
        <f t="shared" ref="I84" si="79">SUM(I85:I89)</f>
        <v>0</v>
      </c>
      <c r="J84" s="53">
        <f t="shared" si="70"/>
        <v>0</v>
      </c>
      <c r="K84" s="53">
        <f t="shared" si="71"/>
        <v>0</v>
      </c>
      <c r="L84" s="69"/>
      <c r="M84" s="73"/>
      <c r="N84" s="73"/>
    </row>
    <row r="85" spans="1:14" s="88" customFormat="1" ht="17.25" hidden="1" customHeight="1" outlineLevel="1">
      <c r="A85" s="84"/>
      <c r="B85" s="85" t="s">
        <v>173</v>
      </c>
      <c r="C85" s="84" t="s">
        <v>20</v>
      </c>
      <c r="D85" s="132">
        <v>18.5</v>
      </c>
      <c r="E85" s="132">
        <v>17</v>
      </c>
      <c r="F85" s="132"/>
      <c r="G85" s="132">
        <v>17</v>
      </c>
      <c r="H85" s="132"/>
      <c r="I85" s="132"/>
      <c r="J85" s="106" t="str">
        <f t="shared" si="70"/>
        <v/>
      </c>
      <c r="K85" s="106">
        <f t="shared" si="71"/>
        <v>0</v>
      </c>
      <c r="L85" s="111"/>
    </row>
    <row r="86" spans="1:14" s="88" customFormat="1" ht="17.25" hidden="1" customHeight="1" outlineLevel="1">
      <c r="A86" s="84"/>
      <c r="B86" s="85" t="s">
        <v>174</v>
      </c>
      <c r="C86" s="84" t="s">
        <v>20</v>
      </c>
      <c r="D86" s="132">
        <v>54.6</v>
      </c>
      <c r="E86" s="132">
        <v>61.9</v>
      </c>
      <c r="F86" s="132">
        <v>54.6</v>
      </c>
      <c r="G86" s="132">
        <v>62</v>
      </c>
      <c r="H86" s="132"/>
      <c r="I86" s="132"/>
      <c r="J86" s="106">
        <f t="shared" si="70"/>
        <v>0</v>
      </c>
      <c r="K86" s="106">
        <f t="shared" si="71"/>
        <v>0</v>
      </c>
      <c r="L86" s="111"/>
    </row>
    <row r="87" spans="1:14" s="88" customFormat="1" ht="17.25" hidden="1" customHeight="1" outlineLevel="1">
      <c r="A87" s="84"/>
      <c r="B87" s="85" t="s">
        <v>175</v>
      </c>
      <c r="C87" s="84" t="s">
        <v>20</v>
      </c>
      <c r="D87" s="132">
        <v>2</v>
      </c>
      <c r="E87" s="132">
        <v>2</v>
      </c>
      <c r="F87" s="132"/>
      <c r="G87" s="132">
        <v>2</v>
      </c>
      <c r="H87" s="132"/>
      <c r="I87" s="132"/>
      <c r="J87" s="106" t="str">
        <f t="shared" si="70"/>
        <v/>
      </c>
      <c r="K87" s="106">
        <f t="shared" si="71"/>
        <v>0</v>
      </c>
      <c r="L87" s="111"/>
    </row>
    <row r="88" spans="1:14" s="88" customFormat="1" ht="17.25" hidden="1" customHeight="1" outlineLevel="1">
      <c r="A88" s="84"/>
      <c r="B88" s="85" t="s">
        <v>176</v>
      </c>
      <c r="C88" s="84" t="s">
        <v>20</v>
      </c>
      <c r="D88" s="132">
        <v>46.4</v>
      </c>
      <c r="E88" s="132">
        <v>30.4</v>
      </c>
      <c r="F88" s="132"/>
      <c r="G88" s="132">
        <v>30</v>
      </c>
      <c r="H88" s="132"/>
      <c r="I88" s="132"/>
      <c r="J88" s="106" t="str">
        <f t="shared" si="70"/>
        <v/>
      </c>
      <c r="K88" s="106">
        <f t="shared" si="71"/>
        <v>0</v>
      </c>
      <c r="L88" s="111"/>
    </row>
    <row r="89" spans="1:14" s="88" customFormat="1" ht="17.25" hidden="1" customHeight="1" outlineLevel="1">
      <c r="A89" s="84"/>
      <c r="B89" s="85" t="s">
        <v>177</v>
      </c>
      <c r="C89" s="84" t="s">
        <v>20</v>
      </c>
      <c r="D89" s="132"/>
      <c r="E89" s="132">
        <v>19.3</v>
      </c>
      <c r="F89" s="132"/>
      <c r="G89" s="132">
        <v>19</v>
      </c>
      <c r="H89" s="132"/>
      <c r="I89" s="132"/>
      <c r="J89" s="106" t="str">
        <f t="shared" si="70"/>
        <v/>
      </c>
      <c r="K89" s="106">
        <f t="shared" si="71"/>
        <v>0</v>
      </c>
      <c r="L89" s="111"/>
    </row>
    <row r="90" spans="1:14" s="88" customFormat="1" ht="17.25" hidden="1" customHeight="1" outlineLevel="1">
      <c r="A90" s="84"/>
      <c r="B90" s="85" t="s">
        <v>249</v>
      </c>
      <c r="C90" s="84" t="s">
        <v>20</v>
      </c>
      <c r="D90" s="132"/>
      <c r="E90" s="132"/>
      <c r="F90" s="132"/>
      <c r="G90" s="132"/>
      <c r="H90" s="132"/>
      <c r="I90" s="132"/>
      <c r="J90" s="106"/>
      <c r="K90" s="106"/>
      <c r="L90" s="111"/>
    </row>
    <row r="91" spans="1:14" ht="18.75" customHeight="1" collapsed="1">
      <c r="A91" s="8" t="s">
        <v>25</v>
      </c>
      <c r="B91" s="12" t="s">
        <v>48</v>
      </c>
      <c r="C91" s="1"/>
      <c r="D91" s="25"/>
      <c r="E91" s="30"/>
      <c r="F91" s="30"/>
      <c r="G91" s="30"/>
      <c r="H91" s="30"/>
      <c r="I91" s="30"/>
      <c r="J91" s="53" t="str">
        <f t="shared" ref="J91:J104" si="80">IFERROR(I91/F91%,"")</f>
        <v/>
      </c>
      <c r="K91" s="53" t="str">
        <f t="shared" ref="K91:K104" si="81">IFERROR(I91/G91%,"")</f>
        <v/>
      </c>
      <c r="L91" s="3"/>
    </row>
    <row r="92" spans="1:14" s="15" customFormat="1" ht="18.75" customHeight="1">
      <c r="A92" s="8">
        <v>1</v>
      </c>
      <c r="B92" s="12" t="s">
        <v>198</v>
      </c>
      <c r="C92" s="8" t="s">
        <v>31</v>
      </c>
      <c r="D92" s="24">
        <f>SUM(D93:D95)</f>
        <v>20219</v>
      </c>
      <c r="E92" s="24">
        <f t="shared" ref="E92:G92" si="82">SUM(E93:E95)</f>
        <v>18350</v>
      </c>
      <c r="F92" s="24">
        <f t="shared" si="82"/>
        <v>18406</v>
      </c>
      <c r="G92" s="24">
        <f t="shared" si="82"/>
        <v>20650</v>
      </c>
      <c r="H92" s="24">
        <f t="shared" ref="H92:I92" si="83">SUM(H93:H95)</f>
        <v>16247</v>
      </c>
      <c r="I92" s="24">
        <f t="shared" si="83"/>
        <v>19600</v>
      </c>
      <c r="J92" s="53">
        <f t="shared" si="80"/>
        <v>106.4870151037705</v>
      </c>
      <c r="K92" s="53">
        <f t="shared" si="81"/>
        <v>94.915254237288138</v>
      </c>
      <c r="L92" s="69"/>
    </row>
    <row r="93" spans="1:14" ht="18.75" customHeight="1">
      <c r="A93" s="1"/>
      <c r="B93" s="17" t="s">
        <v>117</v>
      </c>
      <c r="C93" s="1" t="s">
        <v>31</v>
      </c>
      <c r="D93" s="26">
        <v>2461</v>
      </c>
      <c r="E93" s="26">
        <v>2550</v>
      </c>
      <c r="F93" s="26">
        <v>2530</v>
      </c>
      <c r="G93" s="26">
        <v>2650</v>
      </c>
      <c r="H93" s="26">
        <v>2534</v>
      </c>
      <c r="I93" s="26">
        <v>2600</v>
      </c>
      <c r="J93" s="48">
        <f t="shared" si="80"/>
        <v>102.76679841897233</v>
      </c>
      <c r="K93" s="48">
        <f t="shared" si="81"/>
        <v>98.113207547169807</v>
      </c>
      <c r="L93" s="3"/>
    </row>
    <row r="94" spans="1:14" ht="18.75" customHeight="1">
      <c r="A94" s="1"/>
      <c r="B94" s="17" t="s">
        <v>118</v>
      </c>
      <c r="C94" s="1" t="s">
        <v>31</v>
      </c>
      <c r="D94" s="26">
        <v>4034</v>
      </c>
      <c r="E94" s="26">
        <v>4800</v>
      </c>
      <c r="F94" s="26">
        <v>4594</v>
      </c>
      <c r="G94" s="26">
        <v>5000</v>
      </c>
      <c r="H94" s="26">
        <v>4823</v>
      </c>
      <c r="I94" s="26">
        <v>5000</v>
      </c>
      <c r="J94" s="48">
        <f t="shared" si="80"/>
        <v>108.837614279495</v>
      </c>
      <c r="K94" s="48">
        <f t="shared" si="81"/>
        <v>100</v>
      </c>
      <c r="L94" s="3"/>
    </row>
    <row r="95" spans="1:14" ht="18.75" customHeight="1">
      <c r="A95" s="1"/>
      <c r="B95" s="17" t="s">
        <v>119</v>
      </c>
      <c r="C95" s="1" t="s">
        <v>31</v>
      </c>
      <c r="D95" s="26">
        <v>13724</v>
      </c>
      <c r="E95" s="26">
        <v>11000</v>
      </c>
      <c r="F95" s="26">
        <v>11282</v>
      </c>
      <c r="G95" s="26">
        <v>13000</v>
      </c>
      <c r="H95" s="26">
        <v>8890</v>
      </c>
      <c r="I95" s="26">
        <v>12000</v>
      </c>
      <c r="J95" s="48">
        <f t="shared" si="80"/>
        <v>106.36411983690836</v>
      </c>
      <c r="K95" s="48">
        <f t="shared" si="81"/>
        <v>92.307692307692307</v>
      </c>
      <c r="L95" s="3"/>
    </row>
    <row r="96" spans="1:14" s="15" customFormat="1" ht="18.75" customHeight="1">
      <c r="A96" s="8">
        <v>2</v>
      </c>
      <c r="B96" s="36" t="s">
        <v>15</v>
      </c>
      <c r="C96" s="8" t="s">
        <v>31</v>
      </c>
      <c r="D96" s="24">
        <v>77894</v>
      </c>
      <c r="E96" s="24">
        <v>87000</v>
      </c>
      <c r="F96" s="24">
        <v>92500</v>
      </c>
      <c r="G96" s="24">
        <v>87000</v>
      </c>
      <c r="H96" s="24">
        <v>68700</v>
      </c>
      <c r="I96" s="24">
        <v>80000</v>
      </c>
      <c r="J96" s="53">
        <f t="shared" si="80"/>
        <v>86.486486486486484</v>
      </c>
      <c r="K96" s="53">
        <f t="shared" si="81"/>
        <v>91.954022988505741</v>
      </c>
      <c r="L96" s="69"/>
    </row>
    <row r="97" spans="1:14" s="15" customFormat="1" ht="18.75" customHeight="1">
      <c r="A97" s="8" t="s">
        <v>26</v>
      </c>
      <c r="B97" s="36" t="s">
        <v>120</v>
      </c>
      <c r="C97" s="8"/>
      <c r="D97" s="24"/>
      <c r="E97" s="24"/>
      <c r="F97" s="24"/>
      <c r="G97" s="24"/>
      <c r="H97" s="24"/>
      <c r="I97" s="24"/>
      <c r="J97" s="53" t="str">
        <f t="shared" si="80"/>
        <v/>
      </c>
      <c r="K97" s="53" t="str">
        <f t="shared" si="81"/>
        <v/>
      </c>
      <c r="L97" s="69"/>
    </row>
    <row r="98" spans="1:14" ht="18.75" customHeight="1">
      <c r="A98" s="1">
        <v>1</v>
      </c>
      <c r="B98" s="29" t="s">
        <v>121</v>
      </c>
      <c r="C98" s="1" t="s">
        <v>20</v>
      </c>
      <c r="D98" s="25">
        <v>85</v>
      </c>
      <c r="E98" s="25">
        <v>85.5</v>
      </c>
      <c r="F98" s="25">
        <v>83.5</v>
      </c>
      <c r="G98" s="25">
        <v>85.5</v>
      </c>
      <c r="H98" s="25">
        <v>86.1</v>
      </c>
      <c r="I98" s="25">
        <v>86.1</v>
      </c>
      <c r="J98" s="48">
        <f t="shared" si="80"/>
        <v>103.11377245508982</v>
      </c>
      <c r="K98" s="48">
        <f t="shared" si="81"/>
        <v>100.7017543859649</v>
      </c>
      <c r="L98" s="3"/>
    </row>
    <row r="99" spans="1:14" ht="18.75" customHeight="1">
      <c r="A99" s="1">
        <v>2</v>
      </c>
      <c r="B99" s="29" t="s">
        <v>122</v>
      </c>
      <c r="C99" s="1" t="s">
        <v>47</v>
      </c>
      <c r="D99" s="26">
        <f t="shared" ref="D99:I99" si="84">D100+D101</f>
        <v>427.4</v>
      </c>
      <c r="E99" s="26">
        <f t="shared" si="84"/>
        <v>320</v>
      </c>
      <c r="F99" s="26">
        <f t="shared" si="84"/>
        <v>71.5</v>
      </c>
      <c r="G99" s="26">
        <f t="shared" si="84"/>
        <v>335</v>
      </c>
      <c r="H99" s="26">
        <f t="shared" si="84"/>
        <v>46.699999999999996</v>
      </c>
      <c r="I99" s="26">
        <f t="shared" si="84"/>
        <v>80</v>
      </c>
      <c r="J99" s="48">
        <f t="shared" si="80"/>
        <v>111.88811188811189</v>
      </c>
      <c r="K99" s="48">
        <f t="shared" si="81"/>
        <v>23.880597014925371</v>
      </c>
      <c r="L99" s="3"/>
    </row>
    <row r="100" spans="1:14" ht="18.75" customHeight="1">
      <c r="A100" s="1"/>
      <c r="B100" s="38" t="s">
        <v>123</v>
      </c>
      <c r="C100" s="1" t="s">
        <v>47</v>
      </c>
      <c r="D100" s="26">
        <v>211.9</v>
      </c>
      <c r="E100" s="26">
        <v>210</v>
      </c>
      <c r="F100" s="26">
        <v>54</v>
      </c>
      <c r="G100" s="26">
        <v>210</v>
      </c>
      <c r="H100" s="26">
        <v>33.299999999999997</v>
      </c>
      <c r="I100" s="26">
        <v>60</v>
      </c>
      <c r="J100" s="48">
        <f t="shared" si="80"/>
        <v>111.1111111111111</v>
      </c>
      <c r="K100" s="48">
        <f t="shared" si="81"/>
        <v>28.571428571428569</v>
      </c>
      <c r="L100" s="3"/>
    </row>
    <row r="101" spans="1:14" ht="18.75" customHeight="1">
      <c r="A101" s="1"/>
      <c r="B101" s="38" t="s">
        <v>124</v>
      </c>
      <c r="C101" s="1" t="s">
        <v>47</v>
      </c>
      <c r="D101" s="26">
        <v>215.5</v>
      </c>
      <c r="E101" s="26">
        <v>110</v>
      </c>
      <c r="F101" s="26">
        <v>17.5</v>
      </c>
      <c r="G101" s="26">
        <v>125</v>
      </c>
      <c r="H101" s="26">
        <v>13.4</v>
      </c>
      <c r="I101" s="26">
        <v>20</v>
      </c>
      <c r="J101" s="48">
        <f t="shared" si="80"/>
        <v>114.28571428571429</v>
      </c>
      <c r="K101" s="48">
        <f t="shared" si="81"/>
        <v>16</v>
      </c>
      <c r="L101" s="3"/>
    </row>
    <row r="102" spans="1:14">
      <c r="A102" s="39" t="s">
        <v>28</v>
      </c>
      <c r="B102" s="40" t="s">
        <v>49</v>
      </c>
      <c r="C102" s="39"/>
      <c r="D102" s="10"/>
      <c r="E102" s="10"/>
      <c r="F102" s="10"/>
      <c r="G102" s="10"/>
      <c r="H102" s="10"/>
      <c r="I102" s="10"/>
      <c r="J102" s="53" t="str">
        <f t="shared" si="80"/>
        <v/>
      </c>
      <c r="K102" s="53" t="str">
        <f t="shared" si="81"/>
        <v/>
      </c>
      <c r="L102" s="3"/>
    </row>
    <row r="103" spans="1:14" ht="19.5" customHeight="1">
      <c r="A103" s="145">
        <v>1</v>
      </c>
      <c r="B103" s="42" t="s">
        <v>252</v>
      </c>
      <c r="C103" s="1" t="s">
        <v>20</v>
      </c>
      <c r="D103" s="43">
        <v>500.3</v>
      </c>
      <c r="E103" s="43">
        <v>4</v>
      </c>
      <c r="F103" s="43"/>
      <c r="G103" s="43"/>
      <c r="H103" s="43"/>
      <c r="I103" s="43"/>
      <c r="J103" s="53" t="str">
        <f t="shared" si="80"/>
        <v/>
      </c>
      <c r="K103" s="53" t="str">
        <f t="shared" si="81"/>
        <v/>
      </c>
      <c r="L103" s="3"/>
    </row>
    <row r="104" spans="1:14" s="34" customFormat="1" ht="19.5" customHeight="1">
      <c r="A104" s="142"/>
      <c r="B104" s="143" t="s">
        <v>53</v>
      </c>
      <c r="C104" s="31" t="s">
        <v>20</v>
      </c>
      <c r="D104" s="144">
        <v>500.3</v>
      </c>
      <c r="E104" s="144">
        <v>4</v>
      </c>
      <c r="F104" s="144"/>
      <c r="G104" s="144"/>
      <c r="H104" s="144"/>
      <c r="I104" s="144"/>
      <c r="J104" s="134" t="str">
        <f t="shared" si="80"/>
        <v/>
      </c>
      <c r="K104" s="134" t="str">
        <f t="shared" si="81"/>
        <v/>
      </c>
      <c r="L104" s="70"/>
    </row>
    <row r="105" spans="1:14" ht="19.5" customHeight="1">
      <c r="A105" s="145">
        <v>2</v>
      </c>
      <c r="B105" s="42" t="s">
        <v>246</v>
      </c>
      <c r="C105" s="1" t="s">
        <v>20</v>
      </c>
      <c r="D105" s="43"/>
      <c r="E105" s="43"/>
      <c r="F105" s="43"/>
      <c r="G105" s="43"/>
      <c r="H105" s="43"/>
      <c r="I105" s="43"/>
      <c r="J105" s="53"/>
      <c r="K105" s="53"/>
      <c r="L105" s="3"/>
    </row>
    <row r="106" spans="1:14" ht="19.5" customHeight="1">
      <c r="A106" s="145">
        <v>3</v>
      </c>
      <c r="B106" s="42" t="s">
        <v>247</v>
      </c>
      <c r="C106" s="1" t="s">
        <v>248</v>
      </c>
      <c r="D106" s="43"/>
      <c r="E106" s="43"/>
      <c r="F106" s="43"/>
      <c r="G106" s="43"/>
      <c r="H106" s="43"/>
      <c r="I106" s="43"/>
      <c r="J106" s="53"/>
      <c r="K106" s="53"/>
      <c r="L106" s="3"/>
    </row>
    <row r="107" spans="1:14" ht="17.25" customHeight="1">
      <c r="A107" s="1">
        <v>4</v>
      </c>
      <c r="B107" s="17" t="s">
        <v>14</v>
      </c>
      <c r="C107" s="1" t="s">
        <v>20</v>
      </c>
      <c r="D107" s="19">
        <v>1646</v>
      </c>
      <c r="E107" s="19">
        <f>D107+E108</f>
        <v>1675</v>
      </c>
      <c r="F107" s="19">
        <v>1703</v>
      </c>
      <c r="G107" s="19">
        <f>E107+G108</f>
        <v>1710</v>
      </c>
      <c r="H107" s="19">
        <f>G107</f>
        <v>1710</v>
      </c>
      <c r="I107" s="19">
        <f>G107</f>
        <v>1710</v>
      </c>
      <c r="J107" s="48">
        <f t="shared" ref="J107:J119" si="85">IFERROR(I107/F107%,"")</f>
        <v>100.41103934233705</v>
      </c>
      <c r="K107" s="48">
        <f t="shared" ref="K107:K119" si="86">IFERROR(I107/G107%,"")</f>
        <v>99.999999999999986</v>
      </c>
      <c r="L107" s="3"/>
      <c r="M107" s="67"/>
    </row>
    <row r="108" spans="1:14" ht="17.25" customHeight="1">
      <c r="A108" s="1"/>
      <c r="B108" s="17" t="s">
        <v>53</v>
      </c>
      <c r="C108" s="1" t="s">
        <v>20</v>
      </c>
      <c r="D108" s="19">
        <v>57.2</v>
      </c>
      <c r="E108" s="19">
        <v>29</v>
      </c>
      <c r="F108" s="19">
        <v>35</v>
      </c>
      <c r="G108" s="19">
        <v>35</v>
      </c>
      <c r="H108" s="19">
        <f>G108</f>
        <v>35</v>
      </c>
      <c r="I108" s="19">
        <f>G108</f>
        <v>35</v>
      </c>
      <c r="J108" s="48">
        <f t="shared" si="85"/>
        <v>100</v>
      </c>
      <c r="K108" s="48">
        <f t="shared" si="86"/>
        <v>100</v>
      </c>
      <c r="L108" s="3"/>
    </row>
    <row r="109" spans="1:14" s="15" customFormat="1" ht="21.75" customHeight="1">
      <c r="A109" s="90" t="s">
        <v>76</v>
      </c>
      <c r="B109" s="107" t="s">
        <v>80</v>
      </c>
      <c r="C109" s="90"/>
      <c r="D109" s="108"/>
      <c r="E109" s="108"/>
      <c r="F109" s="108"/>
      <c r="G109" s="108"/>
      <c r="H109" s="108"/>
      <c r="I109" s="108"/>
      <c r="J109" s="94" t="str">
        <f t="shared" si="85"/>
        <v/>
      </c>
      <c r="K109" s="94" t="str">
        <f t="shared" si="86"/>
        <v/>
      </c>
      <c r="L109" s="94"/>
    </row>
    <row r="110" spans="1:14" s="15" customFormat="1" ht="22.5" customHeight="1">
      <c r="A110" s="8">
        <v>1</v>
      </c>
      <c r="B110" s="44" t="s">
        <v>200</v>
      </c>
      <c r="C110" s="8" t="s">
        <v>126</v>
      </c>
      <c r="D110" s="24">
        <v>676693</v>
      </c>
      <c r="E110" s="24">
        <v>708000</v>
      </c>
      <c r="F110" s="24">
        <v>318820</v>
      </c>
      <c r="G110" s="24">
        <v>722000</v>
      </c>
      <c r="H110" s="24">
        <v>190200</v>
      </c>
      <c r="I110" s="24">
        <v>350000</v>
      </c>
      <c r="J110" s="53">
        <f t="shared" si="85"/>
        <v>109.7798130606612</v>
      </c>
      <c r="K110" s="53">
        <f t="shared" si="86"/>
        <v>48.476454293628812</v>
      </c>
      <c r="L110" s="69"/>
      <c r="N110" s="149"/>
    </row>
    <row r="111" spans="1:14" s="15" customFormat="1" ht="20.25" customHeight="1">
      <c r="A111" s="8">
        <v>2</v>
      </c>
      <c r="B111" s="12" t="s">
        <v>128</v>
      </c>
      <c r="C111" s="8"/>
      <c r="D111" s="126"/>
      <c r="E111" s="126"/>
      <c r="F111" s="126"/>
      <c r="G111" s="126"/>
      <c r="H111" s="126"/>
      <c r="I111" s="126"/>
      <c r="J111" s="53" t="str">
        <f t="shared" si="85"/>
        <v/>
      </c>
      <c r="K111" s="53" t="str">
        <f t="shared" si="86"/>
        <v/>
      </c>
      <c r="L111" s="69"/>
    </row>
    <row r="112" spans="1:14" ht="20.25" customHeight="1">
      <c r="A112" s="1"/>
      <c r="B112" s="17" t="s">
        <v>129</v>
      </c>
      <c r="C112" s="1" t="s">
        <v>40</v>
      </c>
      <c r="D112" s="26">
        <v>40</v>
      </c>
      <c r="E112" s="26">
        <v>42</v>
      </c>
      <c r="F112" s="26">
        <v>9</v>
      </c>
      <c r="G112" s="26">
        <v>40</v>
      </c>
      <c r="H112" s="26">
        <v>12</v>
      </c>
      <c r="I112" s="26">
        <v>24</v>
      </c>
      <c r="J112" s="48">
        <f t="shared" si="85"/>
        <v>266.66666666666669</v>
      </c>
      <c r="K112" s="48">
        <f t="shared" si="86"/>
        <v>60</v>
      </c>
      <c r="L112" s="3"/>
    </row>
    <row r="113" spans="1:14" ht="20.25" customHeight="1">
      <c r="A113" s="1"/>
      <c r="B113" s="17" t="s">
        <v>135</v>
      </c>
      <c r="C113" s="1" t="s">
        <v>40</v>
      </c>
      <c r="D113" s="26">
        <v>35</v>
      </c>
      <c r="E113" s="26">
        <v>30</v>
      </c>
      <c r="F113" s="26">
        <v>9</v>
      </c>
      <c r="G113" s="26">
        <v>40</v>
      </c>
      <c r="H113" s="26">
        <v>9</v>
      </c>
      <c r="I113" s="26">
        <v>20</v>
      </c>
      <c r="J113" s="48">
        <f t="shared" si="85"/>
        <v>222.22222222222223</v>
      </c>
      <c r="K113" s="48">
        <f t="shared" si="86"/>
        <v>50</v>
      </c>
      <c r="L113" s="3"/>
    </row>
    <row r="114" spans="1:14" ht="20.25" customHeight="1">
      <c r="A114" s="1"/>
      <c r="B114" s="17" t="s">
        <v>130</v>
      </c>
      <c r="C114" s="1" t="s">
        <v>47</v>
      </c>
      <c r="D114" s="26">
        <v>57219</v>
      </c>
      <c r="E114" s="26">
        <v>60000</v>
      </c>
      <c r="F114" s="26">
        <v>20000</v>
      </c>
      <c r="G114" s="26">
        <v>55000</v>
      </c>
      <c r="H114" s="26">
        <v>9000</v>
      </c>
      <c r="I114" s="26">
        <v>25000</v>
      </c>
      <c r="J114" s="48">
        <f t="shared" si="85"/>
        <v>125</v>
      </c>
      <c r="K114" s="48">
        <f t="shared" si="86"/>
        <v>45.454545454545453</v>
      </c>
      <c r="L114" s="3"/>
    </row>
    <row r="115" spans="1:14" ht="20.25" customHeight="1">
      <c r="A115" s="1"/>
      <c r="B115" s="17" t="s">
        <v>131</v>
      </c>
      <c r="C115" s="1" t="s">
        <v>47</v>
      </c>
      <c r="D115" s="26">
        <v>12363</v>
      </c>
      <c r="E115" s="26">
        <v>13000</v>
      </c>
      <c r="F115" s="26">
        <v>3200</v>
      </c>
      <c r="G115" s="26">
        <v>12000</v>
      </c>
      <c r="H115" s="119">
        <v>5400</v>
      </c>
      <c r="I115" s="26">
        <v>6000</v>
      </c>
      <c r="J115" s="48">
        <f t="shared" si="85"/>
        <v>187.5</v>
      </c>
      <c r="K115" s="48">
        <f t="shared" si="86"/>
        <v>50</v>
      </c>
      <c r="L115" s="3"/>
    </row>
    <row r="116" spans="1:14" ht="20.25" customHeight="1">
      <c r="A116" s="1"/>
      <c r="B116" s="17" t="s">
        <v>132</v>
      </c>
      <c r="C116" s="1" t="s">
        <v>217</v>
      </c>
      <c r="D116" s="26">
        <v>39713</v>
      </c>
      <c r="E116" s="26">
        <v>41000</v>
      </c>
      <c r="F116" s="26"/>
      <c r="G116" s="26">
        <v>60000</v>
      </c>
      <c r="H116" s="119">
        <v>5350</v>
      </c>
      <c r="I116" s="26">
        <v>30000</v>
      </c>
      <c r="J116" s="48" t="str">
        <f t="shared" si="85"/>
        <v/>
      </c>
      <c r="K116" s="48">
        <f t="shared" si="86"/>
        <v>50</v>
      </c>
      <c r="L116" s="3"/>
    </row>
    <row r="117" spans="1:14" ht="20.25" customHeight="1">
      <c r="A117" s="1"/>
      <c r="B117" s="17" t="s">
        <v>133</v>
      </c>
      <c r="C117" s="1" t="s">
        <v>217</v>
      </c>
      <c r="D117" s="26">
        <v>34500</v>
      </c>
      <c r="E117" s="26">
        <v>35000</v>
      </c>
      <c r="F117" s="26"/>
      <c r="G117" s="26">
        <v>54000</v>
      </c>
      <c r="H117" s="26"/>
      <c r="I117" s="26"/>
      <c r="J117" s="48" t="str">
        <f t="shared" si="85"/>
        <v/>
      </c>
      <c r="K117" s="48">
        <f t="shared" si="86"/>
        <v>0</v>
      </c>
      <c r="L117" s="3"/>
    </row>
    <row r="118" spans="1:14" s="15" customFormat="1">
      <c r="A118" s="90" t="s">
        <v>79</v>
      </c>
      <c r="B118" s="95" t="s">
        <v>201</v>
      </c>
      <c r="C118" s="90"/>
      <c r="D118" s="109"/>
      <c r="E118" s="109"/>
      <c r="F118" s="109"/>
      <c r="G118" s="109"/>
      <c r="H118" s="109"/>
      <c r="I118" s="109"/>
      <c r="J118" s="94" t="str">
        <f t="shared" si="85"/>
        <v/>
      </c>
      <c r="K118" s="94" t="str">
        <f t="shared" si="86"/>
        <v/>
      </c>
      <c r="L118" s="94"/>
    </row>
    <row r="119" spans="1:14" ht="22.5" customHeight="1">
      <c r="A119" s="1">
        <v>1</v>
      </c>
      <c r="B119" s="17" t="s">
        <v>81</v>
      </c>
      <c r="C119" s="1" t="s">
        <v>126</v>
      </c>
      <c r="D119" s="26">
        <v>560310</v>
      </c>
      <c r="E119" s="26">
        <v>595000</v>
      </c>
      <c r="F119" s="26">
        <v>260000</v>
      </c>
      <c r="G119" s="26">
        <v>696000</v>
      </c>
      <c r="H119" s="26">
        <v>149000</v>
      </c>
      <c r="I119" s="26">
        <v>300000</v>
      </c>
      <c r="J119" s="48">
        <f t="shared" si="85"/>
        <v>115.38461538461539</v>
      </c>
      <c r="K119" s="48">
        <f t="shared" si="86"/>
        <v>43.103448275862071</v>
      </c>
      <c r="L119" s="3"/>
    </row>
    <row r="120" spans="1:14" s="15" customFormat="1" ht="22.5" hidden="1" customHeight="1" outlineLevel="1">
      <c r="A120" s="8">
        <v>2</v>
      </c>
      <c r="B120" s="44" t="s">
        <v>240</v>
      </c>
      <c r="C120" s="1"/>
      <c r="D120" s="24"/>
      <c r="E120" s="24"/>
      <c r="F120" s="24"/>
      <c r="G120" s="24"/>
      <c r="H120" s="24"/>
      <c r="I120" s="24"/>
      <c r="J120" s="53"/>
      <c r="K120" s="53"/>
      <c r="L120" s="69"/>
    </row>
    <row r="121" spans="1:14" ht="22.5" hidden="1" customHeight="1" outlineLevel="1">
      <c r="A121" s="1"/>
      <c r="B121" s="38" t="s">
        <v>241</v>
      </c>
      <c r="C121" s="1" t="s">
        <v>245</v>
      </c>
      <c r="D121" s="26"/>
      <c r="E121" s="26"/>
      <c r="F121" s="26"/>
      <c r="G121" s="26"/>
      <c r="H121" s="26"/>
      <c r="I121" s="26"/>
      <c r="J121" s="48" t="str">
        <f t="shared" ref="J121:J124" si="87">IFERROR(I121/F121%,"")</f>
        <v/>
      </c>
      <c r="K121" s="48" t="str">
        <f t="shared" ref="K121:K124" si="88">IFERROR(I121/G121%,"")</f>
        <v/>
      </c>
      <c r="L121" s="3"/>
    </row>
    <row r="122" spans="1:14" ht="22.5" hidden="1" customHeight="1" outlineLevel="1">
      <c r="A122" s="1"/>
      <c r="B122" s="38" t="s">
        <v>242</v>
      </c>
      <c r="C122" s="1" t="s">
        <v>27</v>
      </c>
      <c r="D122" s="26"/>
      <c r="E122" s="26"/>
      <c r="F122" s="26"/>
      <c r="G122" s="26"/>
      <c r="H122" s="26"/>
      <c r="I122" s="26"/>
      <c r="J122" s="48" t="str">
        <f t="shared" si="87"/>
        <v/>
      </c>
      <c r="K122" s="48" t="str">
        <f t="shared" si="88"/>
        <v/>
      </c>
      <c r="L122" s="3"/>
    </row>
    <row r="123" spans="1:14" ht="22.5" hidden="1" customHeight="1" outlineLevel="1">
      <c r="A123" s="1"/>
      <c r="B123" s="38" t="s">
        <v>243</v>
      </c>
      <c r="C123" s="1" t="s">
        <v>126</v>
      </c>
      <c r="D123" s="26"/>
      <c r="E123" s="26"/>
      <c r="F123" s="26"/>
      <c r="G123" s="26"/>
      <c r="H123" s="26"/>
      <c r="I123" s="26"/>
      <c r="J123" s="48" t="str">
        <f t="shared" si="87"/>
        <v/>
      </c>
      <c r="K123" s="48" t="str">
        <f t="shared" si="88"/>
        <v/>
      </c>
      <c r="L123" s="3"/>
    </row>
    <row r="124" spans="1:14" ht="22.5" hidden="1" customHeight="1" outlineLevel="1">
      <c r="A124" s="1"/>
      <c r="B124" s="38" t="s">
        <v>244</v>
      </c>
      <c r="C124" s="1" t="s">
        <v>16</v>
      </c>
      <c r="D124" s="26"/>
      <c r="E124" s="26"/>
      <c r="F124" s="26"/>
      <c r="G124" s="26"/>
      <c r="H124" s="26"/>
      <c r="I124" s="26"/>
      <c r="J124" s="48" t="str">
        <f t="shared" si="87"/>
        <v/>
      </c>
      <c r="K124" s="48" t="str">
        <f t="shared" si="88"/>
        <v/>
      </c>
      <c r="L124" s="3"/>
    </row>
    <row r="125" spans="1:14" ht="22.5" customHeight="1" collapsed="1">
      <c r="A125" s="84"/>
      <c r="B125" s="105" t="s">
        <v>205</v>
      </c>
      <c r="C125" s="84"/>
      <c r="D125" s="86"/>
      <c r="E125" s="86"/>
      <c r="F125" s="86"/>
      <c r="G125" s="86"/>
      <c r="H125" s="86"/>
      <c r="I125" s="86"/>
      <c r="J125" s="106" t="str">
        <f t="shared" ref="J125:J137" si="89">IFERROR(I125/F125%,"")</f>
        <v/>
      </c>
      <c r="K125" s="106" t="str">
        <f t="shared" ref="K125:K137" si="90">IFERROR(I125/G125%,"")</f>
        <v/>
      </c>
      <c r="L125" s="3"/>
    </row>
    <row r="126" spans="1:14" s="15" customFormat="1" ht="22.5" customHeight="1">
      <c r="A126" s="90" t="s">
        <v>21</v>
      </c>
      <c r="B126" s="95" t="s">
        <v>147</v>
      </c>
      <c r="C126" s="90"/>
      <c r="D126" s="108"/>
      <c r="E126" s="108"/>
      <c r="F126" s="108"/>
      <c r="G126" s="108"/>
      <c r="H126" s="108"/>
      <c r="I126" s="108"/>
      <c r="J126" s="94" t="str">
        <f t="shared" si="89"/>
        <v/>
      </c>
      <c r="K126" s="94" t="str">
        <f t="shared" si="90"/>
        <v/>
      </c>
      <c r="L126" s="112"/>
    </row>
    <row r="127" spans="1:14" s="88" customFormat="1" ht="22.5" hidden="1" customHeight="1" outlineLevel="1">
      <c r="A127" s="84">
        <v>1</v>
      </c>
      <c r="B127" s="85" t="s">
        <v>148</v>
      </c>
      <c r="C127" s="84" t="s">
        <v>38</v>
      </c>
      <c r="D127" s="130">
        <v>10520</v>
      </c>
      <c r="E127" s="130">
        <f>D128</f>
        <v>10685</v>
      </c>
      <c r="F127" s="130"/>
      <c r="G127" s="130">
        <f>E128</f>
        <v>11120</v>
      </c>
      <c r="H127" s="130"/>
      <c r="I127" s="130"/>
      <c r="J127" s="106" t="str">
        <f t="shared" si="89"/>
        <v/>
      </c>
      <c r="K127" s="106">
        <f t="shared" si="90"/>
        <v>0</v>
      </c>
      <c r="L127" s="111"/>
      <c r="N127" s="131"/>
    </row>
    <row r="128" spans="1:14" s="88" customFormat="1" ht="22.5" hidden="1" customHeight="1" outlineLevel="1">
      <c r="A128" s="84">
        <v>2</v>
      </c>
      <c r="B128" s="85" t="s">
        <v>101</v>
      </c>
      <c r="C128" s="84" t="s">
        <v>38</v>
      </c>
      <c r="D128" s="130">
        <v>10685</v>
      </c>
      <c r="E128" s="130">
        <v>11120</v>
      </c>
      <c r="F128" s="130"/>
      <c r="G128" s="130">
        <v>11380</v>
      </c>
      <c r="H128" s="130"/>
      <c r="I128" s="130"/>
      <c r="J128" s="106" t="str">
        <f t="shared" si="89"/>
        <v/>
      </c>
      <c r="K128" s="106">
        <f t="shared" si="90"/>
        <v>0</v>
      </c>
      <c r="L128" s="111"/>
      <c r="M128" s="131"/>
    </row>
    <row r="129" spans="1:12" ht="22.5" customHeight="1" collapsed="1">
      <c r="A129" s="1">
        <v>1</v>
      </c>
      <c r="B129" s="17" t="s">
        <v>58</v>
      </c>
      <c r="C129" s="1" t="s">
        <v>45</v>
      </c>
      <c r="D129" s="26">
        <v>44006</v>
      </c>
      <c r="E129" s="26">
        <f>D130</f>
        <v>45290</v>
      </c>
      <c r="F129" s="26"/>
      <c r="G129" s="26">
        <f>E130</f>
        <v>46404</v>
      </c>
      <c r="H129" s="26"/>
      <c r="I129" s="26"/>
      <c r="J129" s="48" t="str">
        <f t="shared" si="89"/>
        <v/>
      </c>
      <c r="K129" s="48">
        <f t="shared" si="90"/>
        <v>0</v>
      </c>
      <c r="L129" s="3"/>
    </row>
    <row r="130" spans="1:12" ht="22.5" customHeight="1">
      <c r="A130" s="1">
        <v>2</v>
      </c>
      <c r="B130" s="17" t="s">
        <v>59</v>
      </c>
      <c r="C130" s="1" t="s">
        <v>45</v>
      </c>
      <c r="D130" s="26">
        <v>45290</v>
      </c>
      <c r="E130" s="26">
        <v>46404</v>
      </c>
      <c r="F130" s="26"/>
      <c r="G130" s="26">
        <v>47500</v>
      </c>
      <c r="H130" s="26"/>
      <c r="I130" s="26"/>
      <c r="J130" s="48" t="str">
        <f t="shared" si="89"/>
        <v/>
      </c>
      <c r="K130" s="48">
        <f t="shared" si="90"/>
        <v>0</v>
      </c>
      <c r="L130" s="3"/>
    </row>
    <row r="131" spans="1:12" ht="22.5" customHeight="1">
      <c r="A131" s="1">
        <v>3</v>
      </c>
      <c r="B131" s="17" t="s">
        <v>134</v>
      </c>
      <c r="C131" s="1" t="s">
        <v>45</v>
      </c>
      <c r="D131" s="26">
        <f t="shared" ref="D131:G131" si="91">(D129+D130)/2</f>
        <v>44648</v>
      </c>
      <c r="E131" s="26">
        <f t="shared" si="91"/>
        <v>45847</v>
      </c>
      <c r="F131" s="26"/>
      <c r="G131" s="26">
        <f t="shared" si="91"/>
        <v>46952</v>
      </c>
      <c r="H131" s="26"/>
      <c r="I131" s="26"/>
      <c r="J131" s="48" t="str">
        <f t="shared" si="89"/>
        <v/>
      </c>
      <c r="K131" s="48">
        <f t="shared" si="90"/>
        <v>0</v>
      </c>
      <c r="L131" s="3"/>
    </row>
    <row r="132" spans="1:12" ht="22.5" customHeight="1">
      <c r="A132" s="1">
        <v>4</v>
      </c>
      <c r="B132" s="38" t="s">
        <v>160</v>
      </c>
      <c r="C132" s="18" t="s">
        <v>70</v>
      </c>
      <c r="D132" s="61">
        <v>22.62</v>
      </c>
      <c r="E132" s="61">
        <v>22.92</v>
      </c>
      <c r="F132" s="61"/>
      <c r="G132" s="61">
        <v>22</v>
      </c>
      <c r="H132" s="61"/>
      <c r="I132" s="61"/>
      <c r="J132" s="53" t="str">
        <f t="shared" si="89"/>
        <v/>
      </c>
      <c r="K132" s="53">
        <f t="shared" si="90"/>
        <v>0</v>
      </c>
      <c r="L132" s="3"/>
    </row>
    <row r="133" spans="1:12" s="15" customFormat="1" ht="21" customHeight="1">
      <c r="A133" s="90" t="s">
        <v>22</v>
      </c>
      <c r="B133" s="95" t="s">
        <v>66</v>
      </c>
      <c r="C133" s="90"/>
      <c r="D133" s="113"/>
      <c r="E133" s="113"/>
      <c r="F133" s="113"/>
      <c r="G133" s="113"/>
      <c r="H133" s="113"/>
      <c r="I133" s="113"/>
      <c r="J133" s="94" t="str">
        <f t="shared" si="89"/>
        <v/>
      </c>
      <c r="K133" s="94" t="str">
        <f t="shared" si="90"/>
        <v/>
      </c>
      <c r="L133" s="112"/>
    </row>
    <row r="134" spans="1:12" ht="21" customHeight="1">
      <c r="A134" s="1">
        <v>1</v>
      </c>
      <c r="B134" s="17" t="s">
        <v>161</v>
      </c>
      <c r="C134" s="1" t="s">
        <v>16</v>
      </c>
      <c r="D134" s="48">
        <v>42.86</v>
      </c>
      <c r="E134" s="48">
        <v>43</v>
      </c>
      <c r="F134" s="48"/>
      <c r="G134" s="48">
        <v>44</v>
      </c>
      <c r="H134" s="48"/>
      <c r="I134" s="48"/>
      <c r="J134" s="48" t="str">
        <f t="shared" si="89"/>
        <v/>
      </c>
      <c r="K134" s="48">
        <f t="shared" si="90"/>
        <v>0</v>
      </c>
      <c r="L134" s="3"/>
    </row>
    <row r="135" spans="1:12" ht="27.75" customHeight="1">
      <c r="A135" s="1"/>
      <c r="B135" s="17" t="s">
        <v>162</v>
      </c>
      <c r="C135" s="1" t="s">
        <v>16</v>
      </c>
      <c r="D135" s="48">
        <v>32</v>
      </c>
      <c r="E135" s="48">
        <v>35</v>
      </c>
      <c r="F135" s="48"/>
      <c r="G135" s="48">
        <v>36</v>
      </c>
      <c r="H135" s="48"/>
      <c r="I135" s="48"/>
      <c r="J135" s="48" t="str">
        <f t="shared" si="89"/>
        <v/>
      </c>
      <c r="K135" s="48">
        <f t="shared" si="90"/>
        <v>0</v>
      </c>
      <c r="L135" s="3"/>
    </row>
    <row r="136" spans="1:12" ht="46.8">
      <c r="A136" s="1">
        <v>2</v>
      </c>
      <c r="B136" s="17" t="s">
        <v>152</v>
      </c>
      <c r="C136" s="1" t="s">
        <v>51</v>
      </c>
      <c r="D136" s="49">
        <f>174+50</f>
        <v>224</v>
      </c>
      <c r="E136" s="49">
        <v>175</v>
      </c>
      <c r="F136" s="49">
        <v>175</v>
      </c>
      <c r="G136" s="49">
        <v>250</v>
      </c>
      <c r="H136" s="49">
        <v>168</v>
      </c>
      <c r="I136" s="49">
        <v>200</v>
      </c>
      <c r="J136" s="48">
        <f t="shared" si="89"/>
        <v>114.28571428571429</v>
      </c>
      <c r="K136" s="48">
        <f t="shared" si="90"/>
        <v>80</v>
      </c>
      <c r="L136" s="3"/>
    </row>
    <row r="137" spans="1:12" ht="32.25" customHeight="1">
      <c r="A137" s="1"/>
      <c r="B137" s="17" t="s">
        <v>164</v>
      </c>
      <c r="C137" s="1" t="s">
        <v>165</v>
      </c>
      <c r="D137" s="17">
        <v>111</v>
      </c>
      <c r="E137" s="17">
        <v>115</v>
      </c>
      <c r="F137" s="17">
        <v>115</v>
      </c>
      <c r="G137" s="17">
        <v>120</v>
      </c>
      <c r="H137" s="17">
        <v>115</v>
      </c>
      <c r="I137" s="17">
        <v>115</v>
      </c>
      <c r="J137" s="48">
        <f t="shared" si="89"/>
        <v>100.00000000000001</v>
      </c>
      <c r="K137" s="48">
        <f t="shared" si="90"/>
        <v>95.833333333333343</v>
      </c>
      <c r="L137" s="3"/>
    </row>
    <row r="138" spans="1:12" s="34" customFormat="1" ht="36" customHeight="1">
      <c r="A138" s="1">
        <v>3</v>
      </c>
      <c r="B138" s="141" t="s">
        <v>237</v>
      </c>
      <c r="C138" s="1" t="s">
        <v>165</v>
      </c>
      <c r="D138" s="27"/>
      <c r="E138" s="27"/>
      <c r="F138" s="17">
        <v>149</v>
      </c>
      <c r="G138" s="17">
        <v>120</v>
      </c>
      <c r="H138" s="17">
        <v>37</v>
      </c>
      <c r="I138" s="17">
        <v>37</v>
      </c>
      <c r="J138" s="48">
        <f t="shared" ref="J138:J139" si="92">IFERROR(I138/F138%,"")</f>
        <v>24.832214765100673</v>
      </c>
      <c r="K138" s="48">
        <f t="shared" ref="K138:K139" si="93">IFERROR(I138/G138%,"")</f>
        <v>30.833333333333336</v>
      </c>
      <c r="L138" s="70"/>
    </row>
    <row r="139" spans="1:12" s="34" customFormat="1" ht="24.75" customHeight="1">
      <c r="A139" s="1">
        <v>4</v>
      </c>
      <c r="B139" s="141" t="s">
        <v>238</v>
      </c>
      <c r="C139" s="1" t="s">
        <v>165</v>
      </c>
      <c r="D139" s="27"/>
      <c r="E139" s="27"/>
      <c r="F139" s="17">
        <v>71</v>
      </c>
      <c r="G139" s="17">
        <v>15</v>
      </c>
      <c r="H139" s="17"/>
      <c r="I139" s="17">
        <v>20</v>
      </c>
      <c r="J139" s="48">
        <f t="shared" si="92"/>
        <v>28.169014084507044</v>
      </c>
      <c r="K139" s="48">
        <f t="shared" si="93"/>
        <v>133.33333333333334</v>
      </c>
      <c r="L139" s="70"/>
    </row>
    <row r="140" spans="1:12" s="34" customFormat="1" ht="23.25" customHeight="1">
      <c r="A140" s="8" t="s">
        <v>25</v>
      </c>
      <c r="B140" s="44" t="s">
        <v>233</v>
      </c>
      <c r="C140" s="1"/>
      <c r="D140" s="27"/>
      <c r="E140" s="27"/>
      <c r="F140" s="27"/>
      <c r="G140" s="27"/>
      <c r="H140" s="27"/>
      <c r="I140" s="27"/>
      <c r="J140" s="134"/>
      <c r="K140" s="134"/>
      <c r="L140" s="70"/>
    </row>
    <row r="141" spans="1:12" s="34" customFormat="1" ht="31.2">
      <c r="A141" s="1" t="s">
        <v>65</v>
      </c>
      <c r="B141" s="42" t="s">
        <v>234</v>
      </c>
      <c r="C141" s="1" t="s">
        <v>236</v>
      </c>
      <c r="D141" s="27"/>
      <c r="E141" s="27"/>
      <c r="F141" s="17">
        <v>9</v>
      </c>
      <c r="G141" s="17">
        <v>9</v>
      </c>
      <c r="H141" s="17">
        <v>9</v>
      </c>
      <c r="I141" s="17">
        <v>9</v>
      </c>
      <c r="J141" s="48">
        <f t="shared" ref="J141:J142" si="94">IFERROR(I141/F141%,"")</f>
        <v>100</v>
      </c>
      <c r="K141" s="48">
        <f t="shared" ref="K141:K142" si="95">IFERROR(I141/G141%,"")</f>
        <v>100</v>
      </c>
      <c r="L141" s="70"/>
    </row>
    <row r="142" spans="1:12" s="34" customFormat="1" ht="32.25" customHeight="1">
      <c r="A142" s="1" t="s">
        <v>65</v>
      </c>
      <c r="B142" s="42" t="s">
        <v>235</v>
      </c>
      <c r="C142" s="1" t="s">
        <v>16</v>
      </c>
      <c r="D142" s="27"/>
      <c r="E142" s="27"/>
      <c r="F142" s="17">
        <v>100</v>
      </c>
      <c r="G142" s="17">
        <v>100</v>
      </c>
      <c r="H142" s="17">
        <v>100</v>
      </c>
      <c r="I142" s="17">
        <v>100</v>
      </c>
      <c r="J142" s="48">
        <f t="shared" si="94"/>
        <v>100</v>
      </c>
      <c r="K142" s="48">
        <f t="shared" si="95"/>
        <v>100</v>
      </c>
      <c r="L142" s="70"/>
    </row>
    <row r="143" spans="1:12" ht="21" customHeight="1">
      <c r="A143" s="90" t="s">
        <v>26</v>
      </c>
      <c r="B143" s="95" t="s">
        <v>108</v>
      </c>
      <c r="C143" s="114"/>
      <c r="D143" s="115"/>
      <c r="E143" s="115"/>
      <c r="F143" s="115"/>
      <c r="G143" s="115"/>
      <c r="H143" s="115"/>
      <c r="I143" s="115"/>
      <c r="J143" s="94" t="str">
        <f t="shared" ref="J143:J191" si="96">IFERROR(I143/F143%,"")</f>
        <v/>
      </c>
      <c r="K143" s="94" t="str">
        <f t="shared" ref="K143:K191" si="97">IFERROR(I143/G143%,"")</f>
        <v/>
      </c>
      <c r="L143" s="116"/>
    </row>
    <row r="144" spans="1:12" ht="37.5" customHeight="1">
      <c r="A144" s="50">
        <v>1</v>
      </c>
      <c r="B144" s="51" t="s">
        <v>150</v>
      </c>
      <c r="C144" s="1" t="s">
        <v>16</v>
      </c>
      <c r="D144" s="54" t="s">
        <v>153</v>
      </c>
      <c r="E144" s="74">
        <f>D145-E145</f>
        <v>3.1799999999999997</v>
      </c>
      <c r="F144" s="74"/>
      <c r="G144" s="54" t="s">
        <v>156</v>
      </c>
      <c r="H144" s="74" t="s">
        <v>156</v>
      </c>
      <c r="I144" s="74" t="s">
        <v>156</v>
      </c>
      <c r="J144" s="53" t="str">
        <f t="shared" si="96"/>
        <v/>
      </c>
      <c r="K144" s="53" t="str">
        <f t="shared" si="97"/>
        <v/>
      </c>
      <c r="L144" s="3"/>
    </row>
    <row r="145" spans="1:13" ht="25.5" customHeight="1">
      <c r="A145" s="50">
        <v>2</v>
      </c>
      <c r="B145" s="51" t="s">
        <v>163</v>
      </c>
      <c r="C145" s="1" t="s">
        <v>16</v>
      </c>
      <c r="D145" s="66">
        <v>17.32</v>
      </c>
      <c r="E145" s="66">
        <v>14.14</v>
      </c>
      <c r="F145" s="66">
        <v>17.32</v>
      </c>
      <c r="G145" s="66">
        <f>E145-3</f>
        <v>11.14</v>
      </c>
      <c r="H145" s="66">
        <v>11.14</v>
      </c>
      <c r="I145" s="66">
        <v>11.14</v>
      </c>
      <c r="J145" s="48">
        <f t="shared" si="96"/>
        <v>64.318706697459589</v>
      </c>
      <c r="K145" s="48">
        <f t="shared" si="97"/>
        <v>100</v>
      </c>
      <c r="L145" s="3"/>
      <c r="M145" s="75"/>
    </row>
    <row r="146" spans="1:13" s="15" customFormat="1" ht="20.25" customHeight="1">
      <c r="A146" s="90" t="s">
        <v>28</v>
      </c>
      <c r="B146" s="95" t="s">
        <v>0</v>
      </c>
      <c r="C146" s="90"/>
      <c r="D146" s="108"/>
      <c r="E146" s="108"/>
      <c r="F146" s="108"/>
      <c r="G146" s="108"/>
      <c r="H146" s="108"/>
      <c r="I146" s="108"/>
      <c r="J146" s="94" t="str">
        <f t="shared" si="96"/>
        <v/>
      </c>
      <c r="K146" s="94" t="str">
        <f t="shared" si="97"/>
        <v/>
      </c>
      <c r="L146" s="112"/>
    </row>
    <row r="147" spans="1:13" s="15" customFormat="1" ht="31.5" customHeight="1">
      <c r="A147" s="8">
        <v>1</v>
      </c>
      <c r="B147" s="12" t="s">
        <v>239</v>
      </c>
      <c r="C147" s="8" t="s">
        <v>1</v>
      </c>
      <c r="D147" s="24">
        <f>SUM(D148:D154)</f>
        <v>13999</v>
      </c>
      <c r="E147" s="24">
        <f>SUM(E148:E154)</f>
        <v>14102</v>
      </c>
      <c r="F147" s="24">
        <f>F148+F152+F153+F154</f>
        <v>14397</v>
      </c>
      <c r="G147" s="24">
        <f>G148+G152+G153+G154</f>
        <v>14530</v>
      </c>
      <c r="H147" s="24">
        <f>H148+H152+H153+H154</f>
        <v>14538</v>
      </c>
      <c r="I147" s="24">
        <f>I148+I152+I153+I154</f>
        <v>14547</v>
      </c>
      <c r="J147" s="53">
        <f t="shared" si="96"/>
        <v>101.0418837257762</v>
      </c>
      <c r="K147" s="53">
        <f t="shared" si="97"/>
        <v>100.11699931176875</v>
      </c>
      <c r="L147" s="69"/>
    </row>
    <row r="148" spans="1:13" ht="21" customHeight="1">
      <c r="A148" s="1"/>
      <c r="B148" s="17" t="s">
        <v>83</v>
      </c>
      <c r="C148" s="1" t="s">
        <v>1</v>
      </c>
      <c r="D148" s="76">
        <v>4325</v>
      </c>
      <c r="E148" s="76">
        <v>4401</v>
      </c>
      <c r="F148" s="76">
        <f>F149+F151</f>
        <v>4458</v>
      </c>
      <c r="G148" s="76">
        <f>G149+G151</f>
        <v>4430</v>
      </c>
      <c r="H148" s="76">
        <f>H149+H151</f>
        <v>4482</v>
      </c>
      <c r="I148" s="76">
        <f>I149+I151</f>
        <v>4490</v>
      </c>
      <c r="J148" s="48">
        <f t="shared" si="96"/>
        <v>100.71781067743383</v>
      </c>
      <c r="K148" s="48">
        <f t="shared" si="97"/>
        <v>101.35440180586909</v>
      </c>
      <c r="L148" s="3"/>
      <c r="M148" s="67"/>
    </row>
    <row r="149" spans="1:13" s="34" customFormat="1" ht="21" customHeight="1" outlineLevel="1">
      <c r="A149" s="31"/>
      <c r="B149" s="27" t="s">
        <v>167</v>
      </c>
      <c r="C149" s="1" t="s">
        <v>2</v>
      </c>
      <c r="D149" s="77"/>
      <c r="E149" s="77"/>
      <c r="F149" s="77">
        <v>473</v>
      </c>
      <c r="G149" s="77">
        <v>450</v>
      </c>
      <c r="H149" s="77">
        <v>518</v>
      </c>
      <c r="I149" s="77">
        <v>526</v>
      </c>
      <c r="J149" s="48">
        <f t="shared" si="96"/>
        <v>111.20507399577166</v>
      </c>
      <c r="K149" s="48">
        <f t="shared" si="97"/>
        <v>116.88888888888889</v>
      </c>
      <c r="L149" s="70"/>
      <c r="M149" s="68"/>
    </row>
    <row r="150" spans="1:13" s="34" customFormat="1" ht="21" customHeight="1" outlineLevel="1">
      <c r="A150" s="31"/>
      <c r="B150" s="27" t="s">
        <v>187</v>
      </c>
      <c r="C150" s="1" t="s">
        <v>2</v>
      </c>
      <c r="D150" s="77"/>
      <c r="E150" s="77"/>
      <c r="F150" s="77">
        <v>357</v>
      </c>
      <c r="G150" s="77">
        <v>350</v>
      </c>
      <c r="H150" s="77">
        <v>365</v>
      </c>
      <c r="I150" s="77">
        <v>371</v>
      </c>
      <c r="J150" s="48">
        <f t="shared" si="96"/>
        <v>103.92156862745098</v>
      </c>
      <c r="K150" s="48">
        <f t="shared" si="97"/>
        <v>106</v>
      </c>
      <c r="L150" s="70"/>
      <c r="M150" s="68"/>
    </row>
    <row r="151" spans="1:13" s="34" customFormat="1" ht="21" customHeight="1" outlineLevel="1">
      <c r="A151" s="31"/>
      <c r="B151" s="27" t="s">
        <v>85</v>
      </c>
      <c r="C151" s="1" t="s">
        <v>2</v>
      </c>
      <c r="D151" s="77"/>
      <c r="E151" s="77"/>
      <c r="F151" s="77">
        <v>3985</v>
      </c>
      <c r="G151" s="77">
        <v>3980</v>
      </c>
      <c r="H151" s="77">
        <v>3964</v>
      </c>
      <c r="I151" s="77">
        <v>3964</v>
      </c>
      <c r="J151" s="48">
        <f t="shared" si="96"/>
        <v>99.47302383939774</v>
      </c>
      <c r="K151" s="48">
        <f t="shared" si="97"/>
        <v>99.597989949748751</v>
      </c>
      <c r="L151" s="70"/>
      <c r="M151" s="68"/>
    </row>
    <row r="152" spans="1:13" ht="21" customHeight="1">
      <c r="A152" s="1"/>
      <c r="B152" s="17" t="s">
        <v>104</v>
      </c>
      <c r="C152" s="1" t="s">
        <v>1</v>
      </c>
      <c r="D152" s="76">
        <v>5412</v>
      </c>
      <c r="E152" s="76">
        <v>5400</v>
      </c>
      <c r="F152" s="76">
        <v>5698</v>
      </c>
      <c r="G152" s="76">
        <v>5700</v>
      </c>
      <c r="H152" s="76">
        <v>5691</v>
      </c>
      <c r="I152" s="76">
        <v>5692</v>
      </c>
      <c r="J152" s="48">
        <f t="shared" si="96"/>
        <v>99.894699894699897</v>
      </c>
      <c r="K152" s="48">
        <f t="shared" si="97"/>
        <v>99.859649122807014</v>
      </c>
      <c r="L152" s="3"/>
      <c r="M152" s="67"/>
    </row>
    <row r="153" spans="1:13" ht="21" customHeight="1">
      <c r="A153" s="1"/>
      <c r="B153" s="17" t="s">
        <v>105</v>
      </c>
      <c r="C153" s="1" t="s">
        <v>1</v>
      </c>
      <c r="D153" s="76">
        <v>3521</v>
      </c>
      <c r="E153" s="76">
        <v>3560</v>
      </c>
      <c r="F153" s="76">
        <v>3500</v>
      </c>
      <c r="G153" s="76">
        <v>3570</v>
      </c>
      <c r="H153" s="76">
        <v>3558</v>
      </c>
      <c r="I153" s="76">
        <f>H153</f>
        <v>3558</v>
      </c>
      <c r="J153" s="48">
        <f t="shared" si="96"/>
        <v>101.65714285714286</v>
      </c>
      <c r="K153" s="48">
        <f t="shared" si="97"/>
        <v>99.663865546218474</v>
      </c>
      <c r="L153" s="3"/>
    </row>
    <row r="154" spans="1:13" ht="21" customHeight="1">
      <c r="A154" s="1"/>
      <c r="B154" s="17" t="s">
        <v>137</v>
      </c>
      <c r="C154" s="1" t="s">
        <v>1</v>
      </c>
      <c r="D154" s="76">
        <v>741</v>
      </c>
      <c r="E154" s="76">
        <v>741</v>
      </c>
      <c r="F154" s="76">
        <v>741</v>
      </c>
      <c r="G154" s="76">
        <v>830</v>
      </c>
      <c r="H154" s="76">
        <v>807</v>
      </c>
      <c r="I154" s="76">
        <v>807</v>
      </c>
      <c r="J154" s="48">
        <f t="shared" si="96"/>
        <v>108.90688259109312</v>
      </c>
      <c r="K154" s="48">
        <f t="shared" si="97"/>
        <v>97.228915662650593</v>
      </c>
      <c r="L154" s="3"/>
    </row>
    <row r="155" spans="1:13" s="15" customFormat="1" ht="21" customHeight="1">
      <c r="A155" s="8">
        <v>2</v>
      </c>
      <c r="B155" s="12" t="s">
        <v>188</v>
      </c>
      <c r="C155" s="8"/>
      <c r="D155" s="146"/>
      <c r="E155" s="146"/>
      <c r="F155" s="146"/>
      <c r="G155" s="146"/>
      <c r="H155" s="146"/>
      <c r="I155" s="146"/>
      <c r="J155" s="53"/>
      <c r="K155" s="53"/>
      <c r="L155" s="69"/>
    </row>
    <row r="156" spans="1:13" ht="21" customHeight="1">
      <c r="A156" s="1"/>
      <c r="B156" s="29" t="s">
        <v>36</v>
      </c>
      <c r="C156" s="1" t="s">
        <v>1</v>
      </c>
      <c r="D156" s="76"/>
      <c r="E156" s="76"/>
      <c r="F156" s="76">
        <v>24</v>
      </c>
      <c r="G156" s="76">
        <v>60</v>
      </c>
      <c r="H156" s="76">
        <v>41</v>
      </c>
      <c r="I156" s="76">
        <v>41</v>
      </c>
      <c r="J156" s="48">
        <f t="shared" ref="J156:J157" si="98">IFERROR(I156/F156%,"")</f>
        <v>170.83333333333334</v>
      </c>
      <c r="K156" s="48">
        <f t="shared" ref="K156:K157" si="99">IFERROR(I156/G156%,"")</f>
        <v>68.333333333333343</v>
      </c>
      <c r="L156" s="3"/>
    </row>
    <row r="157" spans="1:13" ht="21" customHeight="1">
      <c r="A157" s="1"/>
      <c r="B157" s="29" t="s">
        <v>35</v>
      </c>
      <c r="C157" s="1" t="s">
        <v>1</v>
      </c>
      <c r="D157" s="76"/>
      <c r="E157" s="76"/>
      <c r="F157" s="76">
        <v>0</v>
      </c>
      <c r="G157" s="76">
        <v>60</v>
      </c>
      <c r="H157" s="76">
        <v>0</v>
      </c>
      <c r="I157" s="76">
        <v>0</v>
      </c>
      <c r="J157" s="48" t="str">
        <f t="shared" si="98"/>
        <v/>
      </c>
      <c r="K157" s="48">
        <f t="shared" si="99"/>
        <v>0</v>
      </c>
      <c r="L157" s="3"/>
    </row>
    <row r="158" spans="1:13" s="139" customFormat="1" ht="22.5" hidden="1" customHeight="1" outlineLevel="1">
      <c r="A158" s="135">
        <v>3</v>
      </c>
      <c r="B158" s="136" t="s">
        <v>166</v>
      </c>
      <c r="C158" s="135"/>
      <c r="D158" s="137">
        <f t="shared" ref="D158:G158" si="100">SUM(D160:D164)</f>
        <v>37</v>
      </c>
      <c r="E158" s="137">
        <f t="shared" si="100"/>
        <v>38</v>
      </c>
      <c r="F158" s="137">
        <f t="shared" ref="F158:H158" si="101">SUM(F160:F164)</f>
        <v>38</v>
      </c>
      <c r="G158" s="137">
        <f t="shared" si="100"/>
        <v>38</v>
      </c>
      <c r="H158" s="137">
        <f t="shared" si="101"/>
        <v>38</v>
      </c>
      <c r="I158" s="137">
        <f t="shared" ref="I158" si="102">SUM(I160:I164)</f>
        <v>38</v>
      </c>
      <c r="J158" s="106">
        <f t="shared" si="96"/>
        <v>100</v>
      </c>
      <c r="K158" s="106">
        <f t="shared" si="97"/>
        <v>100</v>
      </c>
      <c r="L158" s="138"/>
    </row>
    <row r="159" spans="1:13" s="88" customFormat="1" ht="22.5" hidden="1" customHeight="1" outlineLevel="1">
      <c r="A159" s="84"/>
      <c r="B159" s="89" t="s">
        <v>136</v>
      </c>
      <c r="C159" s="84"/>
      <c r="D159" s="86"/>
      <c r="E159" s="86"/>
      <c r="F159" s="86"/>
      <c r="G159" s="86"/>
      <c r="H159" s="86"/>
      <c r="I159" s="86"/>
      <c r="J159" s="87" t="str">
        <f t="shared" si="96"/>
        <v/>
      </c>
      <c r="K159" s="87" t="str">
        <f t="shared" si="97"/>
        <v/>
      </c>
      <c r="L159" s="111"/>
    </row>
    <row r="160" spans="1:13" s="88" customFormat="1" ht="22.5" hidden="1" customHeight="1" outlineLevel="1">
      <c r="A160" s="84"/>
      <c r="B160" s="85" t="s">
        <v>138</v>
      </c>
      <c r="C160" s="84" t="s">
        <v>62</v>
      </c>
      <c r="D160" s="86">
        <v>13</v>
      </c>
      <c r="E160" s="86">
        <v>13</v>
      </c>
      <c r="F160" s="86">
        <v>13</v>
      </c>
      <c r="G160" s="86">
        <f>E160</f>
        <v>13</v>
      </c>
      <c r="H160" s="86">
        <f>G160</f>
        <v>13</v>
      </c>
      <c r="I160" s="86">
        <f>H160</f>
        <v>13</v>
      </c>
      <c r="J160" s="87">
        <f t="shared" si="96"/>
        <v>100</v>
      </c>
      <c r="K160" s="87">
        <f t="shared" si="97"/>
        <v>100</v>
      </c>
      <c r="L160" s="111"/>
    </row>
    <row r="161" spans="1:12" s="88" customFormat="1" ht="22.5" hidden="1" customHeight="1" outlineLevel="1">
      <c r="A161" s="84"/>
      <c r="B161" s="85" t="s">
        <v>139</v>
      </c>
      <c r="C161" s="84" t="s">
        <v>62</v>
      </c>
      <c r="D161" s="86">
        <v>13</v>
      </c>
      <c r="E161" s="86">
        <v>14</v>
      </c>
      <c r="F161" s="86">
        <v>14</v>
      </c>
      <c r="G161" s="86">
        <f>E161</f>
        <v>14</v>
      </c>
      <c r="H161" s="86">
        <f t="shared" ref="H161:I164" si="103">G161</f>
        <v>14</v>
      </c>
      <c r="I161" s="86">
        <f t="shared" si="103"/>
        <v>14</v>
      </c>
      <c r="J161" s="87">
        <f t="shared" si="96"/>
        <v>99.999999999999986</v>
      </c>
      <c r="K161" s="87">
        <f t="shared" si="97"/>
        <v>99.999999999999986</v>
      </c>
      <c r="L161" s="111"/>
    </row>
    <row r="162" spans="1:12" s="88" customFormat="1" ht="22.5" hidden="1" customHeight="1" outlineLevel="1">
      <c r="A162" s="84"/>
      <c r="B162" s="85" t="s">
        <v>140</v>
      </c>
      <c r="C162" s="84" t="s">
        <v>62</v>
      </c>
      <c r="D162" s="86">
        <v>9</v>
      </c>
      <c r="E162" s="86">
        <v>9</v>
      </c>
      <c r="F162" s="86">
        <v>9</v>
      </c>
      <c r="G162" s="86">
        <f>E162</f>
        <v>9</v>
      </c>
      <c r="H162" s="86">
        <f t="shared" si="103"/>
        <v>9</v>
      </c>
      <c r="I162" s="86">
        <f t="shared" si="103"/>
        <v>9</v>
      </c>
      <c r="J162" s="87">
        <f t="shared" si="96"/>
        <v>100</v>
      </c>
      <c r="K162" s="87">
        <f t="shared" si="97"/>
        <v>100</v>
      </c>
      <c r="L162" s="111"/>
    </row>
    <row r="163" spans="1:12" s="88" customFormat="1" ht="22.5" hidden="1" customHeight="1" outlineLevel="1">
      <c r="A163" s="84"/>
      <c r="B163" s="85" t="s">
        <v>141</v>
      </c>
      <c r="C163" s="84" t="s">
        <v>62</v>
      </c>
      <c r="D163" s="86">
        <v>1</v>
      </c>
      <c r="E163" s="86">
        <v>1</v>
      </c>
      <c r="F163" s="86">
        <v>1</v>
      </c>
      <c r="G163" s="86">
        <f>E163</f>
        <v>1</v>
      </c>
      <c r="H163" s="86">
        <f t="shared" si="103"/>
        <v>1</v>
      </c>
      <c r="I163" s="86">
        <f t="shared" si="103"/>
        <v>1</v>
      </c>
      <c r="J163" s="87">
        <f t="shared" si="96"/>
        <v>100</v>
      </c>
      <c r="K163" s="87">
        <f t="shared" si="97"/>
        <v>100</v>
      </c>
      <c r="L163" s="111"/>
    </row>
    <row r="164" spans="1:12" s="88" customFormat="1" ht="22.5" hidden="1" customHeight="1" outlineLevel="1">
      <c r="A164" s="84"/>
      <c r="B164" s="85" t="s">
        <v>142</v>
      </c>
      <c r="C164" s="84" t="s">
        <v>62</v>
      </c>
      <c r="D164" s="86">
        <v>1</v>
      </c>
      <c r="E164" s="86">
        <v>1</v>
      </c>
      <c r="F164" s="86">
        <v>1</v>
      </c>
      <c r="G164" s="86">
        <f>E164</f>
        <v>1</v>
      </c>
      <c r="H164" s="86">
        <f t="shared" si="103"/>
        <v>1</v>
      </c>
      <c r="I164" s="86">
        <f t="shared" si="103"/>
        <v>1</v>
      </c>
      <c r="J164" s="87">
        <f t="shared" si="96"/>
        <v>100</v>
      </c>
      <c r="K164" s="87">
        <f t="shared" si="97"/>
        <v>100</v>
      </c>
      <c r="L164" s="111"/>
    </row>
    <row r="165" spans="1:12" s="139" customFormat="1" ht="22.5" hidden="1" customHeight="1" outlineLevel="1">
      <c r="A165" s="135">
        <v>4</v>
      </c>
      <c r="B165" s="136" t="s">
        <v>143</v>
      </c>
      <c r="C165" s="135" t="s">
        <v>62</v>
      </c>
      <c r="D165" s="137">
        <f t="shared" ref="D165:G165" si="104">SUM(D167:D171)</f>
        <v>20</v>
      </c>
      <c r="E165" s="137">
        <f t="shared" si="104"/>
        <v>22</v>
      </c>
      <c r="F165" s="137">
        <f t="shared" ref="F165:H165" si="105">SUM(F167:F171)</f>
        <v>21</v>
      </c>
      <c r="G165" s="137">
        <f t="shared" si="104"/>
        <v>25</v>
      </c>
      <c r="H165" s="137">
        <f t="shared" si="105"/>
        <v>21</v>
      </c>
      <c r="I165" s="137">
        <f t="shared" ref="I165" si="106">SUM(I167:I171)</f>
        <v>21</v>
      </c>
      <c r="J165" s="106">
        <f t="shared" si="96"/>
        <v>100</v>
      </c>
      <c r="K165" s="106">
        <f t="shared" si="97"/>
        <v>84</v>
      </c>
      <c r="L165" s="138"/>
    </row>
    <row r="166" spans="1:12" s="88" customFormat="1" ht="22.5" hidden="1" customHeight="1" outlineLevel="1">
      <c r="A166" s="84"/>
      <c r="B166" s="89" t="s">
        <v>136</v>
      </c>
      <c r="C166" s="84"/>
      <c r="D166" s="86"/>
      <c r="E166" s="86"/>
      <c r="F166" s="86"/>
      <c r="G166" s="86"/>
      <c r="H166" s="86"/>
      <c r="I166" s="86"/>
      <c r="J166" s="87" t="str">
        <f t="shared" si="96"/>
        <v/>
      </c>
      <c r="K166" s="87" t="str">
        <f t="shared" si="97"/>
        <v/>
      </c>
      <c r="L166" s="111"/>
    </row>
    <row r="167" spans="1:12" s="88" customFormat="1" ht="22.5" hidden="1" customHeight="1" outlineLevel="1">
      <c r="A167" s="84"/>
      <c r="B167" s="85" t="s">
        <v>138</v>
      </c>
      <c r="C167" s="84" t="s">
        <v>62</v>
      </c>
      <c r="D167" s="86">
        <v>5</v>
      </c>
      <c r="E167" s="86">
        <v>7</v>
      </c>
      <c r="F167" s="86">
        <v>6</v>
      </c>
      <c r="G167" s="86">
        <v>8</v>
      </c>
      <c r="H167" s="86">
        <v>6</v>
      </c>
      <c r="I167" s="86">
        <v>6</v>
      </c>
      <c r="J167" s="87">
        <f t="shared" si="96"/>
        <v>100</v>
      </c>
      <c r="K167" s="87">
        <f t="shared" si="97"/>
        <v>75</v>
      </c>
      <c r="L167" s="111"/>
    </row>
    <row r="168" spans="1:12" s="88" customFormat="1" ht="22.5" hidden="1" customHeight="1" outlineLevel="1">
      <c r="A168" s="84"/>
      <c r="B168" s="85" t="s">
        <v>139</v>
      </c>
      <c r="C168" s="84" t="s">
        <v>62</v>
      </c>
      <c r="D168" s="86">
        <v>9</v>
      </c>
      <c r="E168" s="86">
        <v>9</v>
      </c>
      <c r="F168" s="86">
        <v>9</v>
      </c>
      <c r="G168" s="86">
        <v>10</v>
      </c>
      <c r="H168" s="86">
        <v>9</v>
      </c>
      <c r="I168" s="86">
        <v>9</v>
      </c>
      <c r="J168" s="87">
        <f t="shared" si="96"/>
        <v>100</v>
      </c>
      <c r="K168" s="87">
        <f t="shared" si="97"/>
        <v>90</v>
      </c>
      <c r="L168" s="111"/>
    </row>
    <row r="169" spans="1:12" s="88" customFormat="1" ht="22.5" hidden="1" customHeight="1" outlineLevel="1">
      <c r="A169" s="84"/>
      <c r="B169" s="85" t="s">
        <v>140</v>
      </c>
      <c r="C169" s="84" t="s">
        <v>62</v>
      </c>
      <c r="D169" s="86">
        <v>4</v>
      </c>
      <c r="E169" s="86">
        <v>4</v>
      </c>
      <c r="F169" s="86">
        <v>4</v>
      </c>
      <c r="G169" s="86">
        <v>5</v>
      </c>
      <c r="H169" s="86">
        <v>4</v>
      </c>
      <c r="I169" s="86">
        <v>4</v>
      </c>
      <c r="J169" s="87">
        <f t="shared" si="96"/>
        <v>100</v>
      </c>
      <c r="K169" s="87">
        <f t="shared" si="97"/>
        <v>80</v>
      </c>
      <c r="L169" s="111"/>
    </row>
    <row r="170" spans="1:12" s="88" customFormat="1" ht="22.5" hidden="1" customHeight="1" outlineLevel="1">
      <c r="A170" s="84"/>
      <c r="B170" s="85" t="s">
        <v>141</v>
      </c>
      <c r="C170" s="84" t="s">
        <v>62</v>
      </c>
      <c r="D170" s="86">
        <v>1</v>
      </c>
      <c r="E170" s="86">
        <v>1</v>
      </c>
      <c r="F170" s="86">
        <v>1</v>
      </c>
      <c r="G170" s="86">
        <v>1</v>
      </c>
      <c r="H170" s="86">
        <v>1</v>
      </c>
      <c r="I170" s="86">
        <v>1</v>
      </c>
      <c r="J170" s="87">
        <f t="shared" si="96"/>
        <v>100</v>
      </c>
      <c r="K170" s="87">
        <f t="shared" si="97"/>
        <v>100</v>
      </c>
      <c r="L170" s="111"/>
    </row>
    <row r="171" spans="1:12" s="88" customFormat="1" ht="22.5" hidden="1" customHeight="1" outlineLevel="1">
      <c r="A171" s="84"/>
      <c r="B171" s="85" t="s">
        <v>142</v>
      </c>
      <c r="C171" s="84" t="s">
        <v>62</v>
      </c>
      <c r="D171" s="86">
        <v>1</v>
      </c>
      <c r="E171" s="86">
        <v>1</v>
      </c>
      <c r="F171" s="86">
        <v>1</v>
      </c>
      <c r="G171" s="86">
        <v>1</v>
      </c>
      <c r="H171" s="86">
        <v>1</v>
      </c>
      <c r="I171" s="86">
        <v>1</v>
      </c>
      <c r="J171" s="87">
        <f t="shared" si="96"/>
        <v>100</v>
      </c>
      <c r="K171" s="87">
        <f t="shared" si="97"/>
        <v>100</v>
      </c>
      <c r="L171" s="111"/>
    </row>
    <row r="172" spans="1:12" s="15" customFormat="1" ht="22.5" customHeight="1" collapsed="1">
      <c r="A172" s="8">
        <v>3</v>
      </c>
      <c r="B172" s="12" t="s">
        <v>63</v>
      </c>
      <c r="C172" s="8" t="s">
        <v>16</v>
      </c>
      <c r="D172" s="140">
        <f t="shared" ref="D172:G172" si="107">D165/D158%</f>
        <v>54.054054054054056</v>
      </c>
      <c r="E172" s="140">
        <f t="shared" si="107"/>
        <v>57.89473684210526</v>
      </c>
      <c r="F172" s="140">
        <f t="shared" ref="F172:H172" si="108">F165/F158%</f>
        <v>55.263157894736842</v>
      </c>
      <c r="G172" s="140">
        <f t="shared" si="107"/>
        <v>65.78947368421052</v>
      </c>
      <c r="H172" s="140">
        <f t="shared" si="108"/>
        <v>55.263157894736842</v>
      </c>
      <c r="I172" s="140">
        <f t="shared" ref="I172" si="109">I165/I158%</f>
        <v>55.263157894736842</v>
      </c>
      <c r="J172" s="53">
        <f t="shared" si="96"/>
        <v>99.999999999999986</v>
      </c>
      <c r="K172" s="53">
        <f t="shared" si="97"/>
        <v>84.000000000000014</v>
      </c>
      <c r="L172" s="69"/>
    </row>
    <row r="173" spans="1:12" ht="22.5" hidden="1" customHeight="1" outlineLevel="1">
      <c r="A173" s="1"/>
      <c r="B173" s="27" t="s">
        <v>136</v>
      </c>
      <c r="C173" s="1"/>
      <c r="D173" s="45"/>
      <c r="E173" s="45"/>
      <c r="F173" s="45"/>
      <c r="G173" s="45"/>
      <c r="H173" s="45"/>
      <c r="I173" s="45"/>
      <c r="J173" s="53" t="str">
        <f t="shared" si="96"/>
        <v/>
      </c>
      <c r="K173" s="53" t="str">
        <f t="shared" si="97"/>
        <v/>
      </c>
      <c r="L173" s="3"/>
    </row>
    <row r="174" spans="1:12" ht="22.5" hidden="1" customHeight="1" outlineLevel="1">
      <c r="A174" s="1"/>
      <c r="B174" s="17" t="s">
        <v>138</v>
      </c>
      <c r="C174" s="1" t="s">
        <v>16</v>
      </c>
      <c r="D174" s="45">
        <f t="shared" ref="D174:G178" si="110">D167/D160%</f>
        <v>38.46153846153846</v>
      </c>
      <c r="E174" s="45">
        <f t="shared" si="110"/>
        <v>53.846153846153847</v>
      </c>
      <c r="F174" s="45">
        <f t="shared" ref="F174:H174" si="111">F167/F160%</f>
        <v>46.153846153846153</v>
      </c>
      <c r="G174" s="45">
        <f t="shared" si="110"/>
        <v>61.538461538461533</v>
      </c>
      <c r="H174" s="45">
        <f t="shared" si="111"/>
        <v>46.153846153846153</v>
      </c>
      <c r="I174" s="45">
        <f t="shared" ref="I174" si="112">I167/I160%</f>
        <v>46.153846153846153</v>
      </c>
      <c r="J174" s="48">
        <f t="shared" si="96"/>
        <v>100</v>
      </c>
      <c r="K174" s="48">
        <f t="shared" si="97"/>
        <v>75.000000000000014</v>
      </c>
      <c r="L174" s="3"/>
    </row>
    <row r="175" spans="1:12" ht="22.5" hidden="1" customHeight="1" outlineLevel="1">
      <c r="A175" s="1"/>
      <c r="B175" s="17" t="s">
        <v>139</v>
      </c>
      <c r="C175" s="1" t="s">
        <v>16</v>
      </c>
      <c r="D175" s="45">
        <f t="shared" si="110"/>
        <v>69.230769230769226</v>
      </c>
      <c r="E175" s="45">
        <f t="shared" si="110"/>
        <v>64.285714285714278</v>
      </c>
      <c r="F175" s="45">
        <f t="shared" ref="F175:H175" si="113">F168/F161%</f>
        <v>64.285714285714278</v>
      </c>
      <c r="G175" s="45">
        <f t="shared" si="110"/>
        <v>71.428571428571416</v>
      </c>
      <c r="H175" s="45">
        <f t="shared" si="113"/>
        <v>64.285714285714278</v>
      </c>
      <c r="I175" s="45">
        <f t="shared" ref="I175" si="114">I168/I161%</f>
        <v>64.285714285714278</v>
      </c>
      <c r="J175" s="48">
        <f t="shared" si="96"/>
        <v>100</v>
      </c>
      <c r="K175" s="48">
        <f t="shared" si="97"/>
        <v>90</v>
      </c>
      <c r="L175" s="3"/>
    </row>
    <row r="176" spans="1:12" ht="22.5" hidden="1" customHeight="1" outlineLevel="1">
      <c r="A176" s="1"/>
      <c r="B176" s="17" t="s">
        <v>140</v>
      </c>
      <c r="C176" s="1" t="s">
        <v>16</v>
      </c>
      <c r="D176" s="45">
        <f t="shared" si="110"/>
        <v>44.444444444444443</v>
      </c>
      <c r="E176" s="45">
        <f t="shared" si="110"/>
        <v>44.444444444444443</v>
      </c>
      <c r="F176" s="45">
        <f t="shared" ref="F176:H176" si="115">F169/F162%</f>
        <v>44.444444444444443</v>
      </c>
      <c r="G176" s="45">
        <f t="shared" si="110"/>
        <v>55.555555555555557</v>
      </c>
      <c r="H176" s="45">
        <f t="shared" si="115"/>
        <v>44.444444444444443</v>
      </c>
      <c r="I176" s="45">
        <f t="shared" ref="I176" si="116">I169/I162%</f>
        <v>44.444444444444443</v>
      </c>
      <c r="J176" s="48">
        <f t="shared" si="96"/>
        <v>100</v>
      </c>
      <c r="K176" s="48">
        <f t="shared" si="97"/>
        <v>80</v>
      </c>
      <c r="L176" s="3"/>
    </row>
    <row r="177" spans="1:12" ht="22.5" hidden="1" customHeight="1" outlineLevel="1">
      <c r="A177" s="1"/>
      <c r="B177" s="17" t="s">
        <v>141</v>
      </c>
      <c r="C177" s="1" t="s">
        <v>16</v>
      </c>
      <c r="D177" s="45">
        <f t="shared" si="110"/>
        <v>100</v>
      </c>
      <c r="E177" s="45">
        <f t="shared" si="110"/>
        <v>100</v>
      </c>
      <c r="F177" s="45">
        <f t="shared" ref="F177:H177" si="117">F170/F163%</f>
        <v>100</v>
      </c>
      <c r="G177" s="45">
        <f t="shared" si="110"/>
        <v>100</v>
      </c>
      <c r="H177" s="45">
        <f t="shared" si="117"/>
        <v>100</v>
      </c>
      <c r="I177" s="45">
        <f t="shared" ref="I177" si="118">I170/I163%</f>
        <v>100</v>
      </c>
      <c r="J177" s="48">
        <f t="shared" si="96"/>
        <v>100</v>
      </c>
      <c r="K177" s="48">
        <f t="shared" si="97"/>
        <v>100</v>
      </c>
      <c r="L177" s="3"/>
    </row>
    <row r="178" spans="1:12" ht="22.5" hidden="1" customHeight="1" outlineLevel="1">
      <c r="A178" s="1"/>
      <c r="B178" s="17" t="s">
        <v>142</v>
      </c>
      <c r="C178" s="1" t="s">
        <v>16</v>
      </c>
      <c r="D178" s="45">
        <f t="shared" si="110"/>
        <v>100</v>
      </c>
      <c r="E178" s="45">
        <f t="shared" si="110"/>
        <v>100</v>
      </c>
      <c r="F178" s="45">
        <f t="shared" ref="F178:H178" si="119">F171/F164%</f>
        <v>100</v>
      </c>
      <c r="G178" s="45">
        <f t="shared" si="110"/>
        <v>100</v>
      </c>
      <c r="H178" s="45">
        <f t="shared" si="119"/>
        <v>100</v>
      </c>
      <c r="I178" s="45">
        <f t="shared" ref="I178" si="120">I171/I164%</f>
        <v>100</v>
      </c>
      <c r="J178" s="48">
        <f t="shared" si="96"/>
        <v>100</v>
      </c>
      <c r="K178" s="48">
        <f t="shared" si="97"/>
        <v>100</v>
      </c>
      <c r="L178" s="3"/>
    </row>
    <row r="179" spans="1:12" s="15" customFormat="1" ht="22.5" customHeight="1" collapsed="1">
      <c r="A179" s="8">
        <v>4</v>
      </c>
      <c r="B179" s="44" t="s">
        <v>158</v>
      </c>
      <c r="C179" s="8"/>
      <c r="D179" s="126"/>
      <c r="E179" s="126"/>
      <c r="F179" s="126"/>
      <c r="G179" s="126"/>
      <c r="H179" s="126"/>
      <c r="I179" s="126"/>
      <c r="J179" s="53" t="str">
        <f t="shared" si="96"/>
        <v/>
      </c>
      <c r="K179" s="53" t="str">
        <f t="shared" si="97"/>
        <v/>
      </c>
      <c r="L179" s="69"/>
    </row>
    <row r="180" spans="1:12" ht="22.5" customHeight="1">
      <c r="A180" s="60" t="s">
        <v>17</v>
      </c>
      <c r="B180" s="55" t="s">
        <v>83</v>
      </c>
      <c r="C180" s="1" t="s">
        <v>16</v>
      </c>
      <c r="D180" s="56"/>
      <c r="E180" s="56"/>
      <c r="F180" s="56"/>
      <c r="G180" s="56"/>
      <c r="H180" s="56"/>
      <c r="I180" s="56"/>
      <c r="J180" s="48" t="str">
        <f t="shared" si="96"/>
        <v/>
      </c>
      <c r="K180" s="48" t="str">
        <f t="shared" si="97"/>
        <v/>
      </c>
      <c r="L180" s="3"/>
    </row>
    <row r="181" spans="1:12" ht="22.5" customHeight="1">
      <c r="A181" s="60"/>
      <c r="B181" s="57" t="s">
        <v>84</v>
      </c>
      <c r="C181" s="1" t="s">
        <v>16</v>
      </c>
      <c r="D181" s="56">
        <v>11.7</v>
      </c>
      <c r="E181" s="56">
        <v>12.1</v>
      </c>
      <c r="F181" s="56">
        <v>11.7</v>
      </c>
      <c r="G181" s="56">
        <v>12.5</v>
      </c>
      <c r="H181" s="56">
        <v>12.1</v>
      </c>
      <c r="I181" s="56">
        <v>12.1</v>
      </c>
      <c r="J181" s="48">
        <f t="shared" si="96"/>
        <v>103.41880341880342</v>
      </c>
      <c r="K181" s="48">
        <f t="shared" si="97"/>
        <v>96.8</v>
      </c>
      <c r="L181" s="3"/>
    </row>
    <row r="182" spans="1:12" ht="22.5" customHeight="1">
      <c r="A182" s="60"/>
      <c r="B182" s="57" t="s">
        <v>85</v>
      </c>
      <c r="C182" s="1" t="s">
        <v>16</v>
      </c>
      <c r="D182" s="56">
        <v>97.9</v>
      </c>
      <c r="E182" s="56">
        <v>97.2</v>
      </c>
      <c r="F182" s="56">
        <v>97.9</v>
      </c>
      <c r="G182" s="56">
        <v>98</v>
      </c>
      <c r="H182" s="56">
        <v>97.9</v>
      </c>
      <c r="I182" s="56">
        <v>97.9</v>
      </c>
      <c r="J182" s="48">
        <f t="shared" si="96"/>
        <v>100</v>
      </c>
      <c r="K182" s="48">
        <f t="shared" si="97"/>
        <v>99.897959183673478</v>
      </c>
      <c r="L182" s="3"/>
    </row>
    <row r="183" spans="1:12" ht="22.5" customHeight="1">
      <c r="A183" s="60" t="s">
        <v>18</v>
      </c>
      <c r="B183" s="55" t="s">
        <v>104</v>
      </c>
      <c r="C183" s="1" t="s">
        <v>16</v>
      </c>
      <c r="D183" s="56">
        <v>99.9</v>
      </c>
      <c r="E183" s="56">
        <v>100</v>
      </c>
      <c r="F183" s="56">
        <v>99.9</v>
      </c>
      <c r="G183" s="56">
        <v>100</v>
      </c>
      <c r="H183" s="56">
        <v>99.9</v>
      </c>
      <c r="I183" s="56">
        <v>99.9</v>
      </c>
      <c r="J183" s="48">
        <f t="shared" si="96"/>
        <v>100</v>
      </c>
      <c r="K183" s="48">
        <f t="shared" si="97"/>
        <v>99.9</v>
      </c>
      <c r="L183" s="3"/>
    </row>
    <row r="184" spans="1:12" ht="22.5" customHeight="1">
      <c r="A184" s="60" t="s">
        <v>19</v>
      </c>
      <c r="B184" s="55" t="s">
        <v>159</v>
      </c>
      <c r="C184" s="1" t="s">
        <v>16</v>
      </c>
      <c r="D184" s="56">
        <v>96.2</v>
      </c>
      <c r="E184" s="56">
        <v>99.8</v>
      </c>
      <c r="F184" s="56">
        <v>99.8</v>
      </c>
      <c r="G184" s="56">
        <v>100</v>
      </c>
      <c r="H184" s="56">
        <v>99.8</v>
      </c>
      <c r="I184" s="56">
        <v>99.8</v>
      </c>
      <c r="J184" s="48">
        <f t="shared" si="96"/>
        <v>100</v>
      </c>
      <c r="K184" s="48">
        <f t="shared" si="97"/>
        <v>99.8</v>
      </c>
      <c r="L184" s="3"/>
    </row>
    <row r="185" spans="1:12" ht="22.5" customHeight="1">
      <c r="A185" s="90" t="s">
        <v>29</v>
      </c>
      <c r="B185" s="95" t="s">
        <v>145</v>
      </c>
      <c r="C185" s="114"/>
      <c r="D185" s="117"/>
      <c r="E185" s="117"/>
      <c r="F185" s="117"/>
      <c r="G185" s="117"/>
      <c r="H185" s="117"/>
      <c r="I185" s="117"/>
      <c r="J185" s="94" t="str">
        <f t="shared" si="96"/>
        <v/>
      </c>
      <c r="K185" s="94" t="str">
        <f t="shared" si="97"/>
        <v/>
      </c>
      <c r="L185" s="116"/>
    </row>
    <row r="186" spans="1:12" ht="22.5" customHeight="1">
      <c r="A186" s="1">
        <v>1</v>
      </c>
      <c r="B186" s="17" t="s">
        <v>146</v>
      </c>
      <c r="C186" s="1" t="s">
        <v>64</v>
      </c>
      <c r="D186" s="10">
        <v>130</v>
      </c>
      <c r="E186" s="10">
        <v>130</v>
      </c>
      <c r="F186" s="10">
        <v>130</v>
      </c>
      <c r="G186" s="10">
        <v>135</v>
      </c>
      <c r="H186" s="10">
        <v>135</v>
      </c>
      <c r="I186" s="10">
        <v>135</v>
      </c>
      <c r="J186" s="48">
        <f t="shared" si="96"/>
        <v>103.84615384615384</v>
      </c>
      <c r="K186" s="48">
        <f t="shared" si="97"/>
        <v>100</v>
      </c>
      <c r="L186" s="3"/>
    </row>
    <row r="187" spans="1:12" ht="24" customHeight="1">
      <c r="A187" s="1">
        <v>2</v>
      </c>
      <c r="B187" s="17" t="s">
        <v>202</v>
      </c>
      <c r="C187" s="1" t="s">
        <v>144</v>
      </c>
      <c r="D187" s="10">
        <v>2</v>
      </c>
      <c r="E187" s="10">
        <v>6</v>
      </c>
      <c r="F187" s="10">
        <v>2</v>
      </c>
      <c r="G187" s="10">
        <v>7</v>
      </c>
      <c r="H187" s="10">
        <v>4</v>
      </c>
      <c r="I187" s="10">
        <v>4</v>
      </c>
      <c r="J187" s="48">
        <f t="shared" si="96"/>
        <v>200</v>
      </c>
      <c r="K187" s="48">
        <f t="shared" si="97"/>
        <v>57.142857142857139</v>
      </c>
      <c r="L187" s="3"/>
    </row>
    <row r="188" spans="1:12" ht="25.5" customHeight="1">
      <c r="A188" s="1"/>
      <c r="B188" s="37" t="s">
        <v>203</v>
      </c>
      <c r="C188" s="1" t="s">
        <v>16</v>
      </c>
      <c r="D188" s="45">
        <f t="shared" ref="D188:I188" si="121">D187/9%</f>
        <v>22.222222222222221</v>
      </c>
      <c r="E188" s="45">
        <f t="shared" si="121"/>
        <v>66.666666666666671</v>
      </c>
      <c r="F188" s="45">
        <f t="shared" si="121"/>
        <v>22.222222222222221</v>
      </c>
      <c r="G188" s="45">
        <f t="shared" si="121"/>
        <v>77.777777777777786</v>
      </c>
      <c r="H188" s="45">
        <f t="shared" si="121"/>
        <v>44.444444444444443</v>
      </c>
      <c r="I188" s="45">
        <f t="shared" si="121"/>
        <v>44.444444444444443</v>
      </c>
      <c r="J188" s="48">
        <f t="shared" si="96"/>
        <v>200</v>
      </c>
      <c r="K188" s="48">
        <f t="shared" si="97"/>
        <v>57.142857142857132</v>
      </c>
      <c r="L188" s="3"/>
    </row>
    <row r="189" spans="1:12" ht="21.75" customHeight="1">
      <c r="A189" s="1">
        <v>3</v>
      </c>
      <c r="B189" s="29" t="s">
        <v>82</v>
      </c>
      <c r="C189" s="1" t="s">
        <v>16</v>
      </c>
      <c r="D189" s="45">
        <v>83.5</v>
      </c>
      <c r="E189" s="45">
        <v>87</v>
      </c>
      <c r="F189" s="45"/>
      <c r="G189" s="45">
        <v>90</v>
      </c>
      <c r="H189" s="45"/>
      <c r="I189" s="45"/>
      <c r="J189" s="53" t="str">
        <f t="shared" si="96"/>
        <v/>
      </c>
      <c r="K189" s="53">
        <f t="shared" si="97"/>
        <v>0</v>
      </c>
      <c r="L189" s="3"/>
    </row>
    <row r="190" spans="1:12" ht="31.2">
      <c r="A190" s="1">
        <v>4</v>
      </c>
      <c r="B190" s="29" t="s">
        <v>180</v>
      </c>
      <c r="C190" s="1" t="s">
        <v>16</v>
      </c>
      <c r="D190" s="61">
        <v>33.1</v>
      </c>
      <c r="E190" s="45">
        <v>31.8</v>
      </c>
      <c r="F190" s="45"/>
      <c r="G190" s="45">
        <v>31.3</v>
      </c>
      <c r="H190" s="45"/>
      <c r="I190" s="45"/>
      <c r="J190" s="53" t="str">
        <f t="shared" si="96"/>
        <v/>
      </c>
      <c r="K190" s="53">
        <f t="shared" si="97"/>
        <v>0</v>
      </c>
      <c r="L190" s="3"/>
    </row>
    <row r="191" spans="1:12" ht="31.2">
      <c r="A191" s="1">
        <v>5</v>
      </c>
      <c r="B191" s="29" t="s">
        <v>181</v>
      </c>
      <c r="C191" s="1" t="s">
        <v>16</v>
      </c>
      <c r="D191" s="61">
        <v>20.6</v>
      </c>
      <c r="E191" s="45">
        <v>20</v>
      </c>
      <c r="F191" s="45"/>
      <c r="G191" s="45">
        <v>19.5</v>
      </c>
      <c r="H191" s="45"/>
      <c r="I191" s="45"/>
      <c r="J191" s="53" t="str">
        <f t="shared" si="96"/>
        <v/>
      </c>
      <c r="K191" s="53">
        <f t="shared" si="97"/>
        <v>0</v>
      </c>
      <c r="L191" s="3"/>
    </row>
    <row r="192" spans="1:12" ht="26.25" customHeight="1">
      <c r="A192" s="1">
        <v>6</v>
      </c>
      <c r="B192" s="29" t="s">
        <v>250</v>
      </c>
      <c r="C192" s="1" t="s">
        <v>251</v>
      </c>
      <c r="D192" s="61"/>
      <c r="E192" s="45"/>
      <c r="F192" s="45">
        <v>29</v>
      </c>
      <c r="G192" s="45"/>
      <c r="H192" s="45"/>
      <c r="I192" s="45"/>
      <c r="J192" s="53"/>
      <c r="K192" s="53"/>
      <c r="L192" s="3"/>
    </row>
    <row r="193" spans="1:12" ht="31.2">
      <c r="A193" s="90" t="s">
        <v>39</v>
      </c>
      <c r="B193" s="91" t="s">
        <v>86</v>
      </c>
      <c r="C193" s="92"/>
      <c r="D193" s="117"/>
      <c r="E193" s="117"/>
      <c r="F193" s="117"/>
      <c r="G193" s="117"/>
      <c r="H193" s="117"/>
      <c r="I193" s="117"/>
      <c r="J193" s="94" t="str">
        <f t="shared" ref="J193:J203" si="122">IFERROR(I193/F193%,"")</f>
        <v/>
      </c>
      <c r="K193" s="94" t="str">
        <f t="shared" ref="K193:K203" si="123">IFERROR(I193/G193%,"")</f>
        <v/>
      </c>
      <c r="L193" s="116"/>
    </row>
    <row r="194" spans="1:12" ht="22.5" customHeight="1">
      <c r="A194" s="8">
        <v>1</v>
      </c>
      <c r="B194" s="44" t="s">
        <v>87</v>
      </c>
      <c r="C194" s="9"/>
      <c r="D194" s="10"/>
      <c r="E194" s="10"/>
      <c r="F194" s="10"/>
      <c r="G194" s="10"/>
      <c r="H194" s="10"/>
      <c r="I194" s="10"/>
      <c r="J194" s="53" t="str">
        <f t="shared" si="122"/>
        <v/>
      </c>
      <c r="K194" s="53" t="str">
        <f t="shared" si="123"/>
        <v/>
      </c>
      <c r="L194" s="3"/>
    </row>
    <row r="195" spans="1:12" ht="22.5" customHeight="1">
      <c r="A195" s="16"/>
      <c r="B195" s="38" t="s">
        <v>88</v>
      </c>
      <c r="C195" s="18" t="s">
        <v>3</v>
      </c>
      <c r="D195" s="49">
        <v>1560</v>
      </c>
      <c r="E195" s="49">
        <v>1560</v>
      </c>
      <c r="F195" s="49"/>
      <c r="G195" s="49">
        <f>E195</f>
        <v>1560</v>
      </c>
      <c r="H195" s="49">
        <v>390</v>
      </c>
      <c r="I195" s="49">
        <f>G195/2</f>
        <v>780</v>
      </c>
      <c r="J195" s="48" t="str">
        <f t="shared" si="122"/>
        <v/>
      </c>
      <c r="K195" s="48">
        <f t="shared" si="123"/>
        <v>50</v>
      </c>
      <c r="L195" s="3"/>
    </row>
    <row r="196" spans="1:12" ht="22.5" customHeight="1">
      <c r="A196" s="16"/>
      <c r="B196" s="38" t="s">
        <v>89</v>
      </c>
      <c r="C196" s="18" t="s">
        <v>3</v>
      </c>
      <c r="D196" s="49">
        <v>21800</v>
      </c>
      <c r="E196" s="49">
        <v>21800</v>
      </c>
      <c r="F196" s="49"/>
      <c r="G196" s="49">
        <f>E196</f>
        <v>21800</v>
      </c>
      <c r="H196" s="49">
        <v>5400</v>
      </c>
      <c r="I196" s="49">
        <f>G196/2</f>
        <v>10900</v>
      </c>
      <c r="J196" s="48" t="str">
        <f t="shared" si="122"/>
        <v/>
      </c>
      <c r="K196" s="48">
        <f t="shared" si="123"/>
        <v>50</v>
      </c>
      <c r="L196" s="3"/>
    </row>
    <row r="197" spans="1:12" ht="22.5" customHeight="1">
      <c r="A197" s="8">
        <v>2</v>
      </c>
      <c r="B197" s="44" t="s">
        <v>90</v>
      </c>
      <c r="C197" s="18"/>
      <c r="D197" s="49"/>
      <c r="E197" s="49"/>
      <c r="F197" s="49"/>
      <c r="G197" s="49"/>
      <c r="H197" s="49"/>
      <c r="I197" s="49"/>
      <c r="J197" s="53" t="str">
        <f t="shared" si="122"/>
        <v/>
      </c>
      <c r="K197" s="53" t="str">
        <f t="shared" si="123"/>
        <v/>
      </c>
      <c r="L197" s="3"/>
    </row>
    <row r="198" spans="1:12" ht="22.5" hidden="1" customHeight="1" outlineLevel="1">
      <c r="A198" s="1"/>
      <c r="B198" s="38" t="s">
        <v>92</v>
      </c>
      <c r="C198" s="18" t="s">
        <v>93</v>
      </c>
      <c r="D198" s="49">
        <v>9233</v>
      </c>
      <c r="E198" s="49">
        <v>10000</v>
      </c>
      <c r="F198" s="49"/>
      <c r="G198" s="49">
        <v>10250</v>
      </c>
      <c r="H198" s="49"/>
      <c r="I198" s="49"/>
      <c r="J198" s="53" t="str">
        <f t="shared" si="122"/>
        <v/>
      </c>
      <c r="K198" s="53">
        <f t="shared" si="123"/>
        <v>0</v>
      </c>
      <c r="L198" s="3"/>
    </row>
    <row r="199" spans="1:12" ht="22.5" customHeight="1" collapsed="1">
      <c r="A199" s="1" t="s">
        <v>91</v>
      </c>
      <c r="B199" s="38" t="s">
        <v>94</v>
      </c>
      <c r="C199" s="33" t="s">
        <v>16</v>
      </c>
      <c r="D199" s="49">
        <v>85.6</v>
      </c>
      <c r="E199" s="49">
        <f>E198/E128%</f>
        <v>89.928057553956833</v>
      </c>
      <c r="F199" s="49"/>
      <c r="G199" s="49">
        <f>G198/G128%</f>
        <v>90.070298769771526</v>
      </c>
      <c r="H199" s="49"/>
      <c r="I199" s="49"/>
      <c r="J199" s="48" t="str">
        <f t="shared" si="122"/>
        <v/>
      </c>
      <c r="K199" s="48">
        <f t="shared" si="123"/>
        <v>0</v>
      </c>
      <c r="L199" s="3"/>
    </row>
    <row r="200" spans="1:12" ht="22.5" hidden="1" customHeight="1" outlineLevel="1">
      <c r="A200" s="1"/>
      <c r="B200" s="38" t="s">
        <v>96</v>
      </c>
      <c r="C200" s="18" t="s">
        <v>97</v>
      </c>
      <c r="D200" s="5">
        <v>58</v>
      </c>
      <c r="E200" s="5">
        <v>61</v>
      </c>
      <c r="F200" s="5"/>
      <c r="G200" s="5">
        <v>61</v>
      </c>
      <c r="H200" s="5"/>
      <c r="I200" s="5"/>
      <c r="J200" s="48" t="str">
        <f t="shared" si="122"/>
        <v/>
      </c>
      <c r="K200" s="48">
        <f t="shared" si="123"/>
        <v>0</v>
      </c>
      <c r="L200" s="3"/>
    </row>
    <row r="201" spans="1:12" ht="22.5" customHeight="1" collapsed="1">
      <c r="A201" s="1" t="s">
        <v>95</v>
      </c>
      <c r="B201" s="38" t="s">
        <v>71</v>
      </c>
      <c r="C201" s="33" t="s">
        <v>16</v>
      </c>
      <c r="D201" s="49">
        <f>D200/67%</f>
        <v>86.567164179104466</v>
      </c>
      <c r="E201" s="49">
        <f>E200/67%</f>
        <v>91.044776119402982</v>
      </c>
      <c r="F201" s="49"/>
      <c r="G201" s="49">
        <f>G200/67%</f>
        <v>91.044776119402982</v>
      </c>
      <c r="H201" s="49"/>
      <c r="I201" s="49"/>
      <c r="J201" s="48" t="str">
        <f t="shared" si="122"/>
        <v/>
      </c>
      <c r="K201" s="48">
        <f t="shared" si="123"/>
        <v>0</v>
      </c>
      <c r="L201" s="3"/>
    </row>
    <row r="202" spans="1:12" ht="22.5" customHeight="1">
      <c r="A202" s="1" t="s">
        <v>98</v>
      </c>
      <c r="B202" s="38" t="s">
        <v>99</v>
      </c>
      <c r="C202" s="18" t="s">
        <v>100</v>
      </c>
      <c r="D202" s="49">
        <v>88</v>
      </c>
      <c r="E202" s="49">
        <v>90</v>
      </c>
      <c r="F202" s="49"/>
      <c r="G202" s="49">
        <v>90</v>
      </c>
      <c r="H202" s="49"/>
      <c r="I202" s="49"/>
      <c r="J202" s="48" t="str">
        <f t="shared" si="122"/>
        <v/>
      </c>
      <c r="K202" s="48">
        <f t="shared" si="123"/>
        <v>0</v>
      </c>
      <c r="L202" s="3"/>
    </row>
    <row r="203" spans="1:12" ht="22.5" customHeight="1">
      <c r="A203" s="1" t="s">
        <v>149</v>
      </c>
      <c r="B203" s="17" t="s">
        <v>151</v>
      </c>
      <c r="C203" s="1" t="s">
        <v>37</v>
      </c>
      <c r="D203" s="49">
        <v>4</v>
      </c>
      <c r="E203" s="49">
        <v>4</v>
      </c>
      <c r="F203" s="49">
        <v>4</v>
      </c>
      <c r="G203" s="49">
        <v>4</v>
      </c>
      <c r="H203" s="49">
        <v>4</v>
      </c>
      <c r="I203" s="49">
        <v>4</v>
      </c>
      <c r="J203" s="48">
        <f t="shared" si="122"/>
        <v>100</v>
      </c>
      <c r="K203" s="48">
        <f t="shared" si="123"/>
        <v>100</v>
      </c>
      <c r="L203" s="3"/>
    </row>
    <row r="204" spans="1:12" ht="36.75" hidden="1" customHeight="1" outlineLevel="1">
      <c r="A204" s="84"/>
      <c r="B204" s="105" t="s">
        <v>253</v>
      </c>
      <c r="C204" s="84"/>
      <c r="D204" s="86"/>
      <c r="E204" s="86"/>
      <c r="F204" s="86"/>
      <c r="G204" s="86"/>
      <c r="H204" s="86"/>
      <c r="I204" s="86"/>
      <c r="J204" s="106" t="str">
        <f t="shared" ref="J204" si="124">IFERROR(I204/F204%,"")</f>
        <v/>
      </c>
      <c r="K204" s="106" t="str">
        <f t="shared" ref="K204" si="125">IFERROR(I204/G204%,"")</f>
        <v/>
      </c>
      <c r="L204" s="3"/>
    </row>
    <row r="205" spans="1:12" ht="23.25" hidden="1" customHeight="1" outlineLevel="1">
      <c r="A205" s="1">
        <v>1</v>
      </c>
      <c r="B205" s="17" t="s">
        <v>110</v>
      </c>
      <c r="C205" s="1" t="s">
        <v>16</v>
      </c>
      <c r="D205" s="17"/>
      <c r="E205" s="17"/>
      <c r="F205" s="17"/>
      <c r="G205" s="17">
        <v>100</v>
      </c>
      <c r="H205" s="17"/>
      <c r="I205" s="17"/>
      <c r="J205" s="17"/>
      <c r="K205" s="17"/>
      <c r="L205" s="17"/>
    </row>
    <row r="206" spans="1:12" ht="15" customHeight="1" collapsed="1">
      <c r="A206" s="81"/>
      <c r="B206" s="82"/>
      <c r="C206" s="81"/>
      <c r="D206" s="82"/>
      <c r="E206" s="82"/>
      <c r="F206" s="82"/>
      <c r="G206" s="82"/>
      <c r="H206" s="82"/>
      <c r="I206" s="82"/>
      <c r="J206" s="82"/>
      <c r="K206" s="82"/>
      <c r="L206" s="82"/>
    </row>
    <row r="207" spans="1:12">
      <c r="A207" s="78"/>
      <c r="B207" s="46"/>
      <c r="C207" s="78"/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>
      <c r="A208" s="78"/>
      <c r="B208" s="46"/>
      <c r="C208" s="78"/>
      <c r="D208" s="46"/>
      <c r="E208" s="46"/>
      <c r="F208" s="46"/>
      <c r="G208" s="46"/>
      <c r="H208" s="46"/>
      <c r="I208" s="46"/>
      <c r="J208" s="46"/>
      <c r="K208" s="46"/>
      <c r="L208" s="46"/>
    </row>
  </sheetData>
  <mergeCells count="12">
    <mergeCell ref="L5:L6"/>
    <mergeCell ref="A3:L3"/>
    <mergeCell ref="A2:L2"/>
    <mergeCell ref="A1:L1"/>
    <mergeCell ref="G5:I5"/>
    <mergeCell ref="J5:K5"/>
    <mergeCell ref="A5:A6"/>
    <mergeCell ref="B5:B6"/>
    <mergeCell ref="C5:C6"/>
    <mergeCell ref="D5:D6"/>
    <mergeCell ref="E5:E6"/>
    <mergeCell ref="F5:F6"/>
  </mergeCells>
  <pageMargins left="0.47244094488188981" right="0.39370078740157483" top="0.59055118110236227" bottom="0.47244094488188981" header="0.31496062992125984" footer="0.31496062992125984"/>
  <pageSetup paperSize="9" scale="97" fitToHeight="0" orientation="landscape" r:id="rId1"/>
  <headerFooter>
    <oddFooter>&amp;R&amp;"Times New Roman,Regular"&amp;P/&amp;N</oddFooter>
  </headerFooter>
  <ignoredErrors>
    <ignoredError sqref="F92:K92 F94:K94 F93:H93 J93:K93 F96:K99 F95:G95 J95:K95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B0F0"/>
    <pageSetUpPr fitToPage="1"/>
  </sheetPr>
  <dimension ref="A1:K195"/>
  <sheetViews>
    <sheetView zoomScale="85" zoomScaleNormal="85" zoomScaleSheetLayoutView="100" workbookViewId="0">
      <pane xSplit="2" ySplit="7" topLeftCell="C8" activePane="bottomRight" state="frozen"/>
      <selection activeCell="G25" sqref="G25"/>
      <selection pane="topRight" activeCell="G25" sqref="G25"/>
      <selection pane="bottomLeft" activeCell="G25" sqref="G25"/>
      <selection pane="bottomRight" activeCell="G25" sqref="G25"/>
    </sheetView>
  </sheetViews>
  <sheetFormatPr defaultColWidth="9.109375" defaultRowHeight="15.6" outlineLevelRow="1" outlineLevelCol="1"/>
  <cols>
    <col min="1" max="1" width="5.5546875" style="6" customWidth="1"/>
    <col min="2" max="2" width="41.6640625" style="2" customWidth="1"/>
    <col min="3" max="3" width="12.5546875" style="6" customWidth="1"/>
    <col min="4" max="5" width="12.109375" style="2" hidden="1" customWidth="1" outlineLevel="1"/>
    <col min="6" max="6" width="12.44140625" style="2" customWidth="1" collapsed="1"/>
    <col min="7" max="9" width="12.44140625" style="2" customWidth="1"/>
    <col min="10" max="10" width="10" style="2" bestFit="1" customWidth="1"/>
    <col min="11" max="11" width="11.88671875" style="2" bestFit="1" customWidth="1"/>
    <col min="12" max="16384" width="9.109375" style="2"/>
  </cols>
  <sheetData>
    <row r="1" spans="1:11" ht="17.399999999999999" hidden="1" outlineLevel="1">
      <c r="A1" s="676" t="s">
        <v>67</v>
      </c>
      <c r="B1" s="676"/>
      <c r="C1" s="676"/>
      <c r="D1" s="676"/>
      <c r="E1" s="676"/>
      <c r="F1" s="676"/>
      <c r="G1" s="676"/>
      <c r="H1" s="676"/>
      <c r="I1" s="676"/>
    </row>
    <row r="2" spans="1:11" ht="17.399999999999999" hidden="1" outlineLevel="1">
      <c r="A2" s="676" t="s">
        <v>468</v>
      </c>
      <c r="B2" s="676"/>
      <c r="C2" s="676"/>
      <c r="D2" s="676"/>
      <c r="E2" s="676"/>
      <c r="F2" s="676"/>
      <c r="G2" s="676"/>
      <c r="H2" s="676"/>
      <c r="I2" s="676"/>
    </row>
    <row r="3" spans="1:11" ht="16.8" hidden="1" outlineLevel="1">
      <c r="A3" s="686" t="s">
        <v>168</v>
      </c>
      <c r="B3" s="686"/>
      <c r="C3" s="686"/>
      <c r="D3" s="686"/>
      <c r="E3" s="686"/>
      <c r="F3" s="686"/>
      <c r="G3" s="686"/>
      <c r="H3" s="686"/>
      <c r="I3" s="686"/>
    </row>
    <row r="4" spans="1:11" hidden="1" outlineLevel="1"/>
    <row r="5" spans="1:11" ht="16.5" customHeight="1" collapsed="1">
      <c r="A5" s="651" t="s">
        <v>32</v>
      </c>
      <c r="B5" s="651" t="s">
        <v>42</v>
      </c>
      <c r="C5" s="651" t="s">
        <v>4</v>
      </c>
      <c r="D5" s="651" t="s">
        <v>154</v>
      </c>
      <c r="E5" s="651" t="s">
        <v>182</v>
      </c>
      <c r="F5" s="683" t="s">
        <v>155</v>
      </c>
      <c r="G5" s="650" t="s">
        <v>469</v>
      </c>
      <c r="H5" s="651" t="s">
        <v>189</v>
      </c>
      <c r="I5" s="651" t="s">
        <v>46</v>
      </c>
    </row>
    <row r="6" spans="1:11">
      <c r="A6" s="653"/>
      <c r="B6" s="653"/>
      <c r="C6" s="653"/>
      <c r="D6" s="653"/>
      <c r="E6" s="653"/>
      <c r="F6" s="684"/>
      <c r="G6" s="650"/>
      <c r="H6" s="653"/>
      <c r="I6" s="653"/>
    </row>
    <row r="7" spans="1:11">
      <c r="A7" s="7">
        <v>1</v>
      </c>
      <c r="B7" s="7">
        <v>2</v>
      </c>
      <c r="C7" s="7">
        <v>3</v>
      </c>
      <c r="D7" s="7"/>
      <c r="E7" s="7"/>
      <c r="F7" s="7">
        <v>4</v>
      </c>
      <c r="G7" s="7">
        <v>5</v>
      </c>
      <c r="H7" s="7" t="s">
        <v>204</v>
      </c>
      <c r="I7" s="7">
        <v>7</v>
      </c>
    </row>
    <row r="8" spans="1:11" ht="23.25" customHeight="1">
      <c r="A8" s="102"/>
      <c r="B8" s="103" t="s">
        <v>68</v>
      </c>
      <c r="C8" s="102"/>
      <c r="D8" s="102"/>
      <c r="E8" s="102"/>
      <c r="F8" s="102"/>
      <c r="G8" s="102"/>
      <c r="H8" s="104"/>
      <c r="I8" s="110"/>
    </row>
    <row r="9" spans="1:11" ht="21" customHeight="1" collapsed="1">
      <c r="A9" s="90" t="s">
        <v>23</v>
      </c>
      <c r="B9" s="91" t="s">
        <v>127</v>
      </c>
      <c r="C9" s="92"/>
      <c r="D9" s="93"/>
      <c r="E9" s="93"/>
      <c r="F9" s="93"/>
      <c r="G9" s="93"/>
      <c r="H9" s="94"/>
      <c r="I9" s="94"/>
      <c r="J9" s="11"/>
    </row>
    <row r="10" spans="1:11" s="15" customFormat="1" ht="25.5" customHeight="1">
      <c r="A10" s="8" t="s">
        <v>21</v>
      </c>
      <c r="B10" s="12" t="s">
        <v>72</v>
      </c>
      <c r="C10" s="9" t="s">
        <v>57</v>
      </c>
      <c r="D10" s="13">
        <v>347871</v>
      </c>
      <c r="E10" s="13">
        <v>313038</v>
      </c>
      <c r="F10" s="13">
        <v>277205</v>
      </c>
      <c r="G10" s="13"/>
      <c r="H10" s="53">
        <f t="shared" ref="H10:H73" si="0">IFERROR(G10/F10%,"")</f>
        <v>0</v>
      </c>
      <c r="I10" s="69"/>
      <c r="J10" s="14"/>
    </row>
    <row r="11" spans="1:11" ht="21" customHeight="1">
      <c r="A11" s="16" t="s">
        <v>65</v>
      </c>
      <c r="B11" s="17" t="s">
        <v>73</v>
      </c>
      <c r="C11" s="18" t="s">
        <v>57</v>
      </c>
      <c r="D11" s="19">
        <v>90496</v>
      </c>
      <c r="E11" s="19">
        <v>104622</v>
      </c>
      <c r="F11" s="19">
        <v>82860</v>
      </c>
      <c r="G11" s="19"/>
      <c r="H11" s="48">
        <f t="shared" si="0"/>
        <v>0</v>
      </c>
      <c r="I11" s="3"/>
      <c r="J11" s="11"/>
    </row>
    <row r="12" spans="1:11" s="34" customFormat="1" ht="21" customHeight="1">
      <c r="A12" s="58"/>
      <c r="B12" s="27" t="s">
        <v>206</v>
      </c>
      <c r="C12" s="33" t="s">
        <v>57</v>
      </c>
      <c r="D12" s="59">
        <v>84999</v>
      </c>
      <c r="E12" s="59">
        <v>71796</v>
      </c>
      <c r="F12" s="59">
        <v>70788</v>
      </c>
      <c r="G12" s="59"/>
      <c r="H12" s="71">
        <f t="shared" si="0"/>
        <v>0</v>
      </c>
      <c r="I12" s="70"/>
      <c r="J12" s="11"/>
      <c r="K12" s="120"/>
    </row>
    <row r="13" spans="1:11" s="15" customFormat="1" ht="20.25" customHeight="1">
      <c r="A13" s="8" t="s">
        <v>22</v>
      </c>
      <c r="B13" s="12" t="s">
        <v>74</v>
      </c>
      <c r="C13" s="9" t="s">
        <v>57</v>
      </c>
      <c r="D13" s="13">
        <v>308217</v>
      </c>
      <c r="E13" s="13">
        <v>300633</v>
      </c>
      <c r="F13" s="13">
        <v>265133</v>
      </c>
      <c r="G13" s="13"/>
      <c r="H13" s="53">
        <f t="shared" si="0"/>
        <v>0</v>
      </c>
      <c r="I13" s="69"/>
      <c r="J13" s="14"/>
    </row>
    <row r="14" spans="1:11" ht="24" customHeight="1">
      <c r="A14" s="16" t="s">
        <v>65</v>
      </c>
      <c r="B14" s="17" t="s">
        <v>75</v>
      </c>
      <c r="C14" s="18" t="s">
        <v>57</v>
      </c>
      <c r="D14" s="19">
        <v>239615</v>
      </c>
      <c r="E14" s="19">
        <v>264543</v>
      </c>
      <c r="F14" s="19">
        <v>232779</v>
      </c>
      <c r="G14" s="19"/>
      <c r="H14" s="48">
        <f t="shared" si="0"/>
        <v>0</v>
      </c>
      <c r="I14" s="3"/>
      <c r="J14" s="11"/>
    </row>
    <row r="15" spans="1:11" ht="20.25" customHeight="1">
      <c r="A15" s="90" t="s">
        <v>24</v>
      </c>
      <c r="B15" s="95" t="s">
        <v>77</v>
      </c>
      <c r="C15" s="96"/>
      <c r="D15" s="97"/>
      <c r="E15" s="97"/>
      <c r="F15" s="97"/>
      <c r="G15" s="97"/>
      <c r="H15" s="94" t="str">
        <f t="shared" si="0"/>
        <v/>
      </c>
      <c r="I15" s="94"/>
    </row>
    <row r="16" spans="1:11" ht="20.25" customHeight="1">
      <c r="A16" s="1" t="s">
        <v>33</v>
      </c>
      <c r="B16" s="17" t="s">
        <v>169</v>
      </c>
      <c r="C16" s="1" t="s">
        <v>20</v>
      </c>
      <c r="D16" s="26">
        <f t="shared" ref="D16:G16" si="1">D17+D70</f>
        <v>17898.73</v>
      </c>
      <c r="E16" s="26">
        <f t="shared" si="1"/>
        <v>17734.400000000001</v>
      </c>
      <c r="F16" s="26">
        <f t="shared" si="1"/>
        <v>18028.099999999999</v>
      </c>
      <c r="G16" s="26">
        <f t="shared" si="1"/>
        <v>17365.57</v>
      </c>
      <c r="H16" s="48">
        <f t="shared" si="0"/>
        <v>96.325014837947435</v>
      </c>
      <c r="I16" s="3"/>
    </row>
    <row r="17" spans="1:11" ht="17.25" customHeight="1">
      <c r="A17" s="8" t="s">
        <v>21</v>
      </c>
      <c r="B17" s="12" t="s">
        <v>190</v>
      </c>
      <c r="C17" s="8" t="s">
        <v>20</v>
      </c>
      <c r="D17" s="24">
        <f t="shared" ref="D17:G17" si="2">D20+D49+D56+D52+D65</f>
        <v>8084.73</v>
      </c>
      <c r="E17" s="24">
        <f t="shared" si="2"/>
        <v>7662.8</v>
      </c>
      <c r="F17" s="24">
        <f t="shared" si="2"/>
        <v>7906</v>
      </c>
      <c r="G17" s="24">
        <f t="shared" si="2"/>
        <v>7034.8700000000008</v>
      </c>
      <c r="H17" s="53">
        <f t="shared" si="0"/>
        <v>88.981406526688602</v>
      </c>
      <c r="I17" s="3"/>
      <c r="K17" s="63"/>
    </row>
    <row r="18" spans="1:11" ht="17.25" customHeight="1">
      <c r="A18" s="1" t="s">
        <v>33</v>
      </c>
      <c r="B18" s="17" t="s">
        <v>255</v>
      </c>
      <c r="C18" s="1" t="s">
        <v>20</v>
      </c>
      <c r="D18" s="26"/>
      <c r="E18" s="26"/>
      <c r="F18" s="26">
        <f t="shared" ref="F18:G18" si="3">F28+F43+F52+F59</f>
        <v>747</v>
      </c>
      <c r="G18" s="26">
        <f t="shared" si="3"/>
        <v>743.77</v>
      </c>
      <c r="H18" s="48">
        <f t="shared" si="0"/>
        <v>99.567603748326647</v>
      </c>
      <c r="I18" s="3"/>
      <c r="K18" s="63"/>
    </row>
    <row r="19" spans="1:11" ht="17.25" customHeight="1">
      <c r="A19" s="1" t="s">
        <v>33</v>
      </c>
      <c r="B19" s="17" t="s">
        <v>254</v>
      </c>
      <c r="C19" s="1" t="s">
        <v>20</v>
      </c>
      <c r="D19" s="26"/>
      <c r="E19" s="26"/>
      <c r="F19" s="26">
        <f t="shared" ref="F19" si="4">F31+F46+F49+F62</f>
        <v>7127</v>
      </c>
      <c r="G19" s="26">
        <f>G31+G46+G49+G62</f>
        <v>6277.1</v>
      </c>
      <c r="H19" s="48">
        <f t="shared" si="0"/>
        <v>88.074926336466973</v>
      </c>
      <c r="I19" s="3"/>
      <c r="K19" s="63"/>
    </row>
    <row r="20" spans="1:11" s="15" customFormat="1" ht="17.25" customHeight="1">
      <c r="A20" s="8">
        <v>1</v>
      </c>
      <c r="B20" s="12" t="s">
        <v>7</v>
      </c>
      <c r="C20" s="8" t="s">
        <v>20</v>
      </c>
      <c r="D20" s="24">
        <f t="shared" ref="D20:G20" si="5">D25+D40</f>
        <v>1649.23</v>
      </c>
      <c r="E20" s="24">
        <f t="shared" si="5"/>
        <v>1641.6</v>
      </c>
      <c r="F20" s="24">
        <f t="shared" si="5"/>
        <v>1614</v>
      </c>
      <c r="G20" s="24">
        <f t="shared" si="5"/>
        <v>1533.67</v>
      </c>
      <c r="H20" s="53">
        <f t="shared" si="0"/>
        <v>95.022924411400254</v>
      </c>
      <c r="I20" s="69"/>
      <c r="K20" s="147"/>
    </row>
    <row r="21" spans="1:11" ht="17.25" customHeight="1">
      <c r="A21" s="1" t="s">
        <v>33</v>
      </c>
      <c r="B21" s="17" t="s">
        <v>8</v>
      </c>
      <c r="C21" s="1" t="s">
        <v>5</v>
      </c>
      <c r="D21" s="26">
        <f t="shared" ref="D21:F21" si="6">SUM(D22:D23)</f>
        <v>6733.6763900000005</v>
      </c>
      <c r="E21" s="26">
        <f t="shared" si="6"/>
        <v>7129.6886000000004</v>
      </c>
      <c r="F21" s="26">
        <f t="shared" si="6"/>
        <v>7071.0429999999997</v>
      </c>
      <c r="G21" s="26">
        <f t="shared" ref="G21" si="7">SUM(G22:G23)</f>
        <v>2859.4050999999999</v>
      </c>
      <c r="H21" s="48">
        <f t="shared" si="0"/>
        <v>40.438236622235216</v>
      </c>
      <c r="I21" s="3"/>
    </row>
    <row r="22" spans="1:11" ht="17.25" customHeight="1">
      <c r="A22" s="1"/>
      <c r="B22" s="27" t="s">
        <v>9</v>
      </c>
      <c r="C22" s="1" t="s">
        <v>47</v>
      </c>
      <c r="D22" s="26">
        <f t="shared" ref="D22:G22" si="8">D27</f>
        <v>6298.7078300000003</v>
      </c>
      <c r="E22" s="26">
        <f t="shared" si="8"/>
        <v>6644.7176000000009</v>
      </c>
      <c r="F22" s="26">
        <f t="shared" si="8"/>
        <v>6644.5429999999997</v>
      </c>
      <c r="G22" s="26">
        <f t="shared" si="8"/>
        <v>2714.4050999999999</v>
      </c>
      <c r="H22" s="48">
        <f t="shared" si="0"/>
        <v>40.851644725604153</v>
      </c>
      <c r="I22" s="3"/>
    </row>
    <row r="23" spans="1:11" ht="17.25" customHeight="1">
      <c r="A23" s="1"/>
      <c r="B23" s="17" t="s">
        <v>61</v>
      </c>
      <c r="C23" s="1" t="s">
        <v>47</v>
      </c>
      <c r="D23" s="26">
        <f t="shared" ref="D23:G23" si="9">D42</f>
        <v>434.96856000000002</v>
      </c>
      <c r="E23" s="26">
        <f t="shared" si="9"/>
        <v>484.97099999999995</v>
      </c>
      <c r="F23" s="26">
        <f t="shared" si="9"/>
        <v>426.5</v>
      </c>
      <c r="G23" s="26">
        <f t="shared" si="9"/>
        <v>145</v>
      </c>
      <c r="H23" s="48">
        <f t="shared" si="0"/>
        <v>33.997655334114889</v>
      </c>
      <c r="I23" s="3"/>
    </row>
    <row r="24" spans="1:11" ht="17.25" customHeight="1">
      <c r="A24" s="1" t="s">
        <v>33</v>
      </c>
      <c r="B24" s="17" t="s">
        <v>10</v>
      </c>
      <c r="C24" s="1" t="s">
        <v>34</v>
      </c>
      <c r="D24" s="26">
        <f>D21/D130*1000</f>
        <v>150.81697702024726</v>
      </c>
      <c r="E24" s="26">
        <f>E21/E130*1000</f>
        <v>155.51047178659456</v>
      </c>
      <c r="F24" s="26">
        <f>F21/F130*1000</f>
        <v>150.60152922133241</v>
      </c>
      <c r="G24" s="26" t="str">
        <f>IFERROR(G21/G130*1000,"")</f>
        <v/>
      </c>
      <c r="H24" s="48" t="str">
        <f t="shared" si="0"/>
        <v/>
      </c>
      <c r="I24" s="3"/>
    </row>
    <row r="25" spans="1:11" s="15" customFormat="1" ht="17.25" customHeight="1">
      <c r="A25" s="8" t="s">
        <v>17</v>
      </c>
      <c r="B25" s="36" t="s">
        <v>191</v>
      </c>
      <c r="C25" s="8" t="s">
        <v>20</v>
      </c>
      <c r="D25" s="13">
        <f t="shared" ref="D25:G25" si="10">D28+D31</f>
        <v>1558.31</v>
      </c>
      <c r="E25" s="13">
        <f t="shared" si="10"/>
        <v>1540</v>
      </c>
      <c r="F25" s="13">
        <f t="shared" si="10"/>
        <v>1531</v>
      </c>
      <c r="G25" s="13">
        <f t="shared" si="10"/>
        <v>1464.67</v>
      </c>
      <c r="H25" s="53">
        <f t="shared" si="0"/>
        <v>95.667537557152187</v>
      </c>
      <c r="I25" s="69"/>
    </row>
    <row r="26" spans="1:11" ht="17.25" customHeight="1">
      <c r="A26" s="1"/>
      <c r="B26" s="29" t="s">
        <v>11</v>
      </c>
      <c r="C26" s="1" t="s">
        <v>6</v>
      </c>
      <c r="D26" s="30">
        <f t="shared" ref="D26:G26" si="11">D27/D25*10</f>
        <v>40.420120707689748</v>
      </c>
      <c r="E26" s="30">
        <f t="shared" si="11"/>
        <v>43.147516883116886</v>
      </c>
      <c r="F26" s="30">
        <f t="shared" si="11"/>
        <v>43.400019595035921</v>
      </c>
      <c r="G26" s="30">
        <f t="shared" si="11"/>
        <v>18.532537021991299</v>
      </c>
      <c r="H26" s="48">
        <f t="shared" si="0"/>
        <v>42.701678927608235</v>
      </c>
      <c r="I26" s="3"/>
    </row>
    <row r="27" spans="1:11" ht="17.25" customHeight="1">
      <c r="A27" s="1"/>
      <c r="B27" s="29" t="s">
        <v>12</v>
      </c>
      <c r="C27" s="1" t="s">
        <v>47</v>
      </c>
      <c r="D27" s="19">
        <f t="shared" ref="D27:G27" si="12">D30+D33</f>
        <v>6298.7078300000003</v>
      </c>
      <c r="E27" s="19">
        <f t="shared" si="12"/>
        <v>6644.7176000000009</v>
      </c>
      <c r="F27" s="19">
        <f t="shared" si="12"/>
        <v>6644.5429999999997</v>
      </c>
      <c r="G27" s="19">
        <f t="shared" si="12"/>
        <v>2714.4050999999999</v>
      </c>
      <c r="H27" s="48">
        <f t="shared" si="0"/>
        <v>40.851644725604153</v>
      </c>
      <c r="I27" s="3"/>
    </row>
    <row r="28" spans="1:11" ht="17.25" customHeight="1">
      <c r="A28" s="1" t="s">
        <v>183</v>
      </c>
      <c r="B28" s="100" t="s">
        <v>192</v>
      </c>
      <c r="C28" s="1" t="s">
        <v>20</v>
      </c>
      <c r="D28" s="19">
        <v>597.30999999999995</v>
      </c>
      <c r="E28" s="119">
        <v>570.5</v>
      </c>
      <c r="F28" s="49">
        <v>571</v>
      </c>
      <c r="G28" s="49">
        <v>573.87</v>
      </c>
      <c r="H28" s="48">
        <f t="shared" si="0"/>
        <v>100.50262697022767</v>
      </c>
      <c r="I28" s="3"/>
    </row>
    <row r="29" spans="1:11" ht="17.25" customHeight="1">
      <c r="A29" s="1"/>
      <c r="B29" s="100" t="s">
        <v>11</v>
      </c>
      <c r="C29" s="1" t="s">
        <v>6</v>
      </c>
      <c r="D29" s="22">
        <v>39.33</v>
      </c>
      <c r="E29" s="30">
        <v>47.2</v>
      </c>
      <c r="F29" s="48">
        <v>47.33</v>
      </c>
      <c r="G29" s="48">
        <v>47.3</v>
      </c>
      <c r="H29" s="48">
        <f t="shared" si="0"/>
        <v>99.936615254595395</v>
      </c>
      <c r="I29" s="3"/>
    </row>
    <row r="30" spans="1:11" ht="17.25" customHeight="1">
      <c r="A30" s="1"/>
      <c r="B30" s="101" t="s">
        <v>12</v>
      </c>
      <c r="C30" s="1" t="s">
        <v>47</v>
      </c>
      <c r="D30" s="19">
        <f t="shared" ref="D30:G30" si="13">D28*D29/10</f>
        <v>2349.2202299999999</v>
      </c>
      <c r="E30" s="19">
        <f t="shared" si="13"/>
        <v>2692.76</v>
      </c>
      <c r="F30" s="19">
        <f t="shared" si="13"/>
        <v>2702.5430000000001</v>
      </c>
      <c r="G30" s="19">
        <f t="shared" si="13"/>
        <v>2714.4050999999999</v>
      </c>
      <c r="H30" s="48">
        <f t="shared" si="0"/>
        <v>100.43892363599765</v>
      </c>
      <c r="I30" s="3"/>
    </row>
    <row r="31" spans="1:11" ht="17.25" customHeight="1">
      <c r="A31" s="1" t="s">
        <v>184</v>
      </c>
      <c r="B31" s="100" t="s">
        <v>193</v>
      </c>
      <c r="C31" s="1" t="s">
        <v>20</v>
      </c>
      <c r="D31" s="19">
        <f t="shared" ref="D31:G31" si="14">D34+D37</f>
        <v>961</v>
      </c>
      <c r="E31" s="26">
        <f t="shared" si="14"/>
        <v>969.5</v>
      </c>
      <c r="F31" s="26">
        <f t="shared" si="14"/>
        <v>960</v>
      </c>
      <c r="G31" s="26">
        <f t="shared" si="14"/>
        <v>890.8</v>
      </c>
      <c r="H31" s="48">
        <f t="shared" si="0"/>
        <v>92.791666666666671</v>
      </c>
      <c r="I31" s="3"/>
    </row>
    <row r="32" spans="1:11" ht="17.25" customHeight="1">
      <c r="A32" s="1"/>
      <c r="B32" s="101" t="s">
        <v>11</v>
      </c>
      <c r="C32" s="1" t="s">
        <v>6</v>
      </c>
      <c r="D32" s="30">
        <f t="shared" ref="D32:G32" si="15">D33/D31*10</f>
        <v>41.097685744016658</v>
      </c>
      <c r="E32" s="25">
        <f t="shared" si="15"/>
        <v>40.762842702423939</v>
      </c>
      <c r="F32" s="25">
        <f t="shared" si="15"/>
        <v>41.0625</v>
      </c>
      <c r="G32" s="25">
        <f t="shared" si="15"/>
        <v>0</v>
      </c>
      <c r="H32" s="48">
        <f t="shared" si="0"/>
        <v>0</v>
      </c>
      <c r="I32" s="3"/>
    </row>
    <row r="33" spans="1:9" ht="17.25" customHeight="1">
      <c r="A33" s="1"/>
      <c r="B33" s="101" t="s">
        <v>12</v>
      </c>
      <c r="C33" s="1" t="s">
        <v>47</v>
      </c>
      <c r="D33" s="19">
        <f t="shared" ref="D33:G33" si="16">D36+D39</f>
        <v>3949.4876000000004</v>
      </c>
      <c r="E33" s="26">
        <f t="shared" si="16"/>
        <v>3951.9576000000006</v>
      </c>
      <c r="F33" s="26">
        <f t="shared" si="16"/>
        <v>3942</v>
      </c>
      <c r="G33" s="26">
        <f t="shared" si="16"/>
        <v>0</v>
      </c>
      <c r="H33" s="48">
        <f t="shared" si="0"/>
        <v>0</v>
      </c>
      <c r="I33" s="3"/>
    </row>
    <row r="34" spans="1:9" ht="17.25" customHeight="1">
      <c r="A34" s="1"/>
      <c r="B34" s="98" t="s">
        <v>194</v>
      </c>
      <c r="C34" s="1" t="s">
        <v>20</v>
      </c>
      <c r="D34" s="19">
        <v>906.4</v>
      </c>
      <c r="E34" s="30">
        <v>903.3</v>
      </c>
      <c r="F34" s="19">
        <v>900</v>
      </c>
      <c r="G34" s="19">
        <v>796.8</v>
      </c>
      <c r="H34" s="48">
        <f t="shared" si="0"/>
        <v>88.533333333333331</v>
      </c>
      <c r="I34" s="3"/>
    </row>
    <row r="35" spans="1:9" ht="17.25" customHeight="1">
      <c r="A35" s="1"/>
      <c r="B35" s="99" t="s">
        <v>11</v>
      </c>
      <c r="C35" s="1" t="s">
        <v>6</v>
      </c>
      <c r="D35" s="22">
        <v>42.83</v>
      </c>
      <c r="E35" s="30">
        <v>42.84</v>
      </c>
      <c r="F35" s="30">
        <v>43</v>
      </c>
      <c r="G35" s="30"/>
      <c r="H35" s="48">
        <f t="shared" si="0"/>
        <v>0</v>
      </c>
      <c r="I35" s="3"/>
    </row>
    <row r="36" spans="1:9" ht="17.25" customHeight="1">
      <c r="A36" s="1"/>
      <c r="B36" s="99" t="s">
        <v>12</v>
      </c>
      <c r="C36" s="1" t="s">
        <v>47</v>
      </c>
      <c r="D36" s="19">
        <f>D35*D34/10</f>
        <v>3882.1112000000003</v>
      </c>
      <c r="E36" s="19">
        <f t="shared" ref="E36:G36" si="17">E34*E35/10</f>
        <v>3869.7372000000005</v>
      </c>
      <c r="F36" s="19">
        <f t="shared" si="17"/>
        <v>3870</v>
      </c>
      <c r="G36" s="66">
        <f t="shared" si="17"/>
        <v>0</v>
      </c>
      <c r="H36" s="48">
        <f t="shared" si="0"/>
        <v>0</v>
      </c>
      <c r="I36" s="3"/>
    </row>
    <row r="37" spans="1:9" ht="17.25" customHeight="1">
      <c r="A37" s="1"/>
      <c r="B37" s="98" t="s">
        <v>207</v>
      </c>
      <c r="C37" s="1" t="s">
        <v>20</v>
      </c>
      <c r="D37" s="19">
        <v>54.6</v>
      </c>
      <c r="E37" s="19">
        <v>66.2</v>
      </c>
      <c r="F37" s="19">
        <v>60</v>
      </c>
      <c r="G37" s="19">
        <v>94</v>
      </c>
      <c r="H37" s="48">
        <f t="shared" si="0"/>
        <v>156.66666666666669</v>
      </c>
      <c r="I37" s="3"/>
    </row>
    <row r="38" spans="1:9" ht="17.25" customHeight="1">
      <c r="A38" s="1"/>
      <c r="B38" s="99" t="s">
        <v>11</v>
      </c>
      <c r="C38" s="1" t="s">
        <v>6</v>
      </c>
      <c r="D38" s="30">
        <v>12.34</v>
      </c>
      <c r="E38" s="30">
        <v>12.42</v>
      </c>
      <c r="F38" s="30">
        <v>12</v>
      </c>
      <c r="G38" s="30"/>
      <c r="H38" s="48">
        <f t="shared" si="0"/>
        <v>0</v>
      </c>
      <c r="I38" s="3"/>
    </row>
    <row r="39" spans="1:9" ht="17.25" customHeight="1">
      <c r="A39" s="1"/>
      <c r="B39" s="99" t="s">
        <v>12</v>
      </c>
      <c r="C39" s="1" t="s">
        <v>47</v>
      </c>
      <c r="D39" s="19">
        <f t="shared" ref="D39:G39" si="18">D38*D37/10</f>
        <v>67.376400000000004</v>
      </c>
      <c r="E39" s="19">
        <f t="shared" si="18"/>
        <v>82.220400000000012</v>
      </c>
      <c r="F39" s="19">
        <f t="shared" si="18"/>
        <v>72</v>
      </c>
      <c r="G39" s="66">
        <f t="shared" si="18"/>
        <v>0</v>
      </c>
      <c r="H39" s="48">
        <f t="shared" si="0"/>
        <v>0</v>
      </c>
      <c r="I39" s="3"/>
    </row>
    <row r="40" spans="1:9" s="15" customFormat="1" ht="17.25" customHeight="1">
      <c r="A40" s="8" t="s">
        <v>18</v>
      </c>
      <c r="B40" s="36" t="s">
        <v>195</v>
      </c>
      <c r="C40" s="8" t="s">
        <v>20</v>
      </c>
      <c r="D40" s="13">
        <f t="shared" ref="D40:G40" si="19">D43+D46</f>
        <v>90.92</v>
      </c>
      <c r="E40" s="13">
        <f t="shared" si="19"/>
        <v>101.6</v>
      </c>
      <c r="F40" s="13">
        <f t="shared" si="19"/>
        <v>83</v>
      </c>
      <c r="G40" s="13">
        <f t="shared" si="19"/>
        <v>69</v>
      </c>
      <c r="H40" s="53">
        <f t="shared" si="0"/>
        <v>83.132530120481931</v>
      </c>
      <c r="I40" s="69"/>
    </row>
    <row r="41" spans="1:9" ht="17.25" customHeight="1">
      <c r="A41" s="1"/>
      <c r="B41" s="29" t="s">
        <v>11</v>
      </c>
      <c r="C41" s="1" t="s">
        <v>6</v>
      </c>
      <c r="D41" s="30">
        <f t="shared" ref="D41:G41" si="20">D42/D40*10</f>
        <v>47.840800703915534</v>
      </c>
      <c r="E41" s="30">
        <f t="shared" si="20"/>
        <v>47.733366141732283</v>
      </c>
      <c r="F41" s="30">
        <f t="shared" si="20"/>
        <v>51.385542168674696</v>
      </c>
      <c r="G41" s="30">
        <f t="shared" si="20"/>
        <v>21.014492753623188</v>
      </c>
      <c r="H41" s="48">
        <f t="shared" si="0"/>
        <v>40.89573032944255</v>
      </c>
      <c r="I41" s="3"/>
    </row>
    <row r="42" spans="1:9" ht="17.25" customHeight="1">
      <c r="A42" s="1"/>
      <c r="B42" s="29" t="s">
        <v>12</v>
      </c>
      <c r="C42" s="1" t="s">
        <v>47</v>
      </c>
      <c r="D42" s="19">
        <f t="shared" ref="D42:G42" si="21">D45+D48</f>
        <v>434.96856000000002</v>
      </c>
      <c r="E42" s="19">
        <f t="shared" si="21"/>
        <v>484.97099999999995</v>
      </c>
      <c r="F42" s="19">
        <f t="shared" si="21"/>
        <v>426.5</v>
      </c>
      <c r="G42" s="19">
        <f t="shared" si="21"/>
        <v>145</v>
      </c>
      <c r="H42" s="48">
        <f t="shared" si="0"/>
        <v>33.997655334114889</v>
      </c>
      <c r="I42" s="3"/>
    </row>
    <row r="43" spans="1:9" ht="17.25" customHeight="1">
      <c r="A43" s="1" t="s">
        <v>185</v>
      </c>
      <c r="B43" s="100" t="s">
        <v>208</v>
      </c>
      <c r="C43" s="1" t="s">
        <v>20</v>
      </c>
      <c r="D43" s="26">
        <v>28.22</v>
      </c>
      <c r="E43" s="26">
        <v>38.700000000000003</v>
      </c>
      <c r="F43" s="26">
        <v>23</v>
      </c>
      <c r="G43" s="26">
        <v>25</v>
      </c>
      <c r="H43" s="48">
        <f t="shared" si="0"/>
        <v>108.69565217391303</v>
      </c>
      <c r="I43" s="3"/>
    </row>
    <row r="44" spans="1:9" ht="17.25" customHeight="1">
      <c r="A44" s="1"/>
      <c r="B44" s="100" t="s">
        <v>11</v>
      </c>
      <c r="C44" s="1" t="s">
        <v>6</v>
      </c>
      <c r="D44" s="25">
        <v>56.13</v>
      </c>
      <c r="E44" s="25">
        <v>47.3</v>
      </c>
      <c r="F44" s="25">
        <v>55</v>
      </c>
      <c r="G44" s="25">
        <v>58</v>
      </c>
      <c r="H44" s="48">
        <f t="shared" si="0"/>
        <v>105.45454545454544</v>
      </c>
      <c r="I44" s="3"/>
    </row>
    <row r="45" spans="1:9" ht="17.25" customHeight="1">
      <c r="A45" s="1"/>
      <c r="B45" s="101" t="s">
        <v>12</v>
      </c>
      <c r="C45" s="1" t="s">
        <v>47</v>
      </c>
      <c r="D45" s="26">
        <f t="shared" ref="D45:G45" si="22">D44*D43/10</f>
        <v>158.39885999999998</v>
      </c>
      <c r="E45" s="26">
        <f t="shared" si="22"/>
        <v>183.05099999999999</v>
      </c>
      <c r="F45" s="26">
        <f t="shared" si="22"/>
        <v>126.5</v>
      </c>
      <c r="G45" s="26">
        <f t="shared" si="22"/>
        <v>145</v>
      </c>
      <c r="H45" s="48">
        <f t="shared" si="0"/>
        <v>114.62450592885376</v>
      </c>
      <c r="I45" s="3"/>
    </row>
    <row r="46" spans="1:9" ht="17.25" customHeight="1">
      <c r="A46" s="1" t="s">
        <v>186</v>
      </c>
      <c r="B46" s="100" t="s">
        <v>209</v>
      </c>
      <c r="C46" s="1" t="s">
        <v>20</v>
      </c>
      <c r="D46" s="26">
        <v>62.7</v>
      </c>
      <c r="E46" s="26">
        <v>62.9</v>
      </c>
      <c r="F46" s="26">
        <v>60</v>
      </c>
      <c r="G46" s="26">
        <v>44</v>
      </c>
      <c r="H46" s="48">
        <f t="shared" si="0"/>
        <v>73.333333333333343</v>
      </c>
      <c r="I46" s="3"/>
    </row>
    <row r="47" spans="1:9" ht="17.25" customHeight="1">
      <c r="A47" s="1"/>
      <c r="B47" s="100" t="s">
        <v>11</v>
      </c>
      <c r="C47" s="1" t="s">
        <v>6</v>
      </c>
      <c r="D47" s="25">
        <v>44.11</v>
      </c>
      <c r="E47" s="25">
        <v>48</v>
      </c>
      <c r="F47" s="25">
        <v>50</v>
      </c>
      <c r="G47" s="25"/>
      <c r="H47" s="48">
        <f t="shared" si="0"/>
        <v>0</v>
      </c>
      <c r="I47" s="3"/>
    </row>
    <row r="48" spans="1:9" ht="17.25" customHeight="1">
      <c r="A48" s="1"/>
      <c r="B48" s="101" t="s">
        <v>12</v>
      </c>
      <c r="C48" s="1" t="s">
        <v>47</v>
      </c>
      <c r="D48" s="26">
        <f>D46*D47/10</f>
        <v>276.56970000000001</v>
      </c>
      <c r="E48" s="26">
        <f t="shared" ref="E48:G48" si="23">E47*E46/10</f>
        <v>301.91999999999996</v>
      </c>
      <c r="F48" s="26">
        <f t="shared" si="23"/>
        <v>300</v>
      </c>
      <c r="G48" s="26">
        <f t="shared" si="23"/>
        <v>0</v>
      </c>
      <c r="H48" s="48">
        <f t="shared" si="0"/>
        <v>0</v>
      </c>
      <c r="I48" s="3"/>
    </row>
    <row r="49" spans="1:9" ht="19.5" customHeight="1">
      <c r="A49" s="8">
        <v>2</v>
      </c>
      <c r="B49" s="12" t="s">
        <v>13</v>
      </c>
      <c r="C49" s="1" t="s">
        <v>20</v>
      </c>
      <c r="D49" s="24">
        <v>6199.5</v>
      </c>
      <c r="E49" s="24">
        <v>5720.5</v>
      </c>
      <c r="F49" s="24">
        <v>6000</v>
      </c>
      <c r="G49" s="24">
        <v>5281.3</v>
      </c>
      <c r="H49" s="53">
        <f t="shared" si="0"/>
        <v>88.021666666666675</v>
      </c>
      <c r="I49" s="3"/>
    </row>
    <row r="50" spans="1:9" ht="19.5" customHeight="1">
      <c r="A50" s="31"/>
      <c r="B50" s="29" t="s">
        <v>11</v>
      </c>
      <c r="C50" s="1" t="s">
        <v>6</v>
      </c>
      <c r="D50" s="25">
        <f>D51/D49*10</f>
        <v>148.34260827486088</v>
      </c>
      <c r="E50" s="25">
        <v>148.51</v>
      </c>
      <c r="F50" s="25">
        <v>145</v>
      </c>
      <c r="G50" s="25"/>
      <c r="H50" s="53">
        <f t="shared" si="0"/>
        <v>0</v>
      </c>
      <c r="I50" s="3"/>
    </row>
    <row r="51" spans="1:9" ht="19.5" customHeight="1">
      <c r="A51" s="31"/>
      <c r="B51" s="29" t="s">
        <v>12</v>
      </c>
      <c r="C51" s="1" t="s">
        <v>47</v>
      </c>
      <c r="D51" s="26">
        <v>91965</v>
      </c>
      <c r="E51" s="26">
        <f>E50*E49/10</f>
        <v>84955.145499999999</v>
      </c>
      <c r="F51" s="26">
        <f>F50*F49/10</f>
        <v>87000</v>
      </c>
      <c r="G51" s="26">
        <f>G50*G49/10</f>
        <v>0</v>
      </c>
      <c r="H51" s="53">
        <f t="shared" si="0"/>
        <v>0</v>
      </c>
      <c r="I51" s="3"/>
    </row>
    <row r="52" spans="1:9" s="15" customFormat="1" ht="19.5" customHeight="1">
      <c r="A52" s="8">
        <v>3</v>
      </c>
      <c r="B52" s="12" t="s">
        <v>114</v>
      </c>
      <c r="C52" s="8" t="s">
        <v>20</v>
      </c>
      <c r="D52" s="24">
        <v>9.1999999999999993</v>
      </c>
      <c r="E52" s="24">
        <v>10.5</v>
      </c>
      <c r="F52" s="24">
        <v>30</v>
      </c>
      <c r="G52" s="24">
        <v>29.1</v>
      </c>
      <c r="H52" s="53">
        <f t="shared" si="0"/>
        <v>97.000000000000014</v>
      </c>
      <c r="I52" s="69"/>
    </row>
    <row r="53" spans="1:9" ht="19.5" customHeight="1">
      <c r="A53" s="1"/>
      <c r="B53" s="27" t="s">
        <v>53</v>
      </c>
      <c r="C53" s="1" t="s">
        <v>20</v>
      </c>
      <c r="D53" s="26"/>
      <c r="E53" s="26"/>
      <c r="F53" s="26">
        <v>20</v>
      </c>
      <c r="G53" s="26">
        <v>19.100000000000001</v>
      </c>
      <c r="H53" s="48">
        <f t="shared" si="0"/>
        <v>95.5</v>
      </c>
      <c r="I53" s="3"/>
    </row>
    <row r="54" spans="1:9" ht="19.5" customHeight="1">
      <c r="A54" s="31"/>
      <c r="B54" s="29" t="s">
        <v>11</v>
      </c>
      <c r="C54" s="1" t="s">
        <v>6</v>
      </c>
      <c r="D54" s="25"/>
      <c r="E54" s="25">
        <v>600</v>
      </c>
      <c r="F54" s="25">
        <v>733.3</v>
      </c>
      <c r="G54" s="25"/>
      <c r="H54" s="48">
        <f t="shared" si="0"/>
        <v>0</v>
      </c>
      <c r="I54" s="3"/>
    </row>
    <row r="55" spans="1:9" ht="19.5" customHeight="1">
      <c r="A55" s="31"/>
      <c r="B55" s="29" t="s">
        <v>12</v>
      </c>
      <c r="C55" s="1" t="s">
        <v>47</v>
      </c>
      <c r="D55" s="26">
        <f t="shared" ref="D55:G55" si="24">D54*D52/10</f>
        <v>0</v>
      </c>
      <c r="E55" s="26">
        <f t="shared" si="24"/>
        <v>630</v>
      </c>
      <c r="F55" s="26">
        <f t="shared" si="24"/>
        <v>2199.9</v>
      </c>
      <c r="G55" s="26">
        <f t="shared" si="24"/>
        <v>0</v>
      </c>
      <c r="H55" s="48">
        <f t="shared" si="0"/>
        <v>0</v>
      </c>
      <c r="I55" s="3"/>
    </row>
    <row r="56" spans="1:9" ht="19.5" customHeight="1">
      <c r="A56" s="8">
        <v>4</v>
      </c>
      <c r="B56" s="12" t="s">
        <v>60</v>
      </c>
      <c r="C56" s="1" t="s">
        <v>20</v>
      </c>
      <c r="D56" s="24">
        <f t="shared" ref="D56:G56" si="25">D59+D62</f>
        <v>219.3</v>
      </c>
      <c r="E56" s="24">
        <f t="shared" si="25"/>
        <v>259</v>
      </c>
      <c r="F56" s="24">
        <f t="shared" si="25"/>
        <v>230</v>
      </c>
      <c r="G56" s="24">
        <f t="shared" si="25"/>
        <v>176.8</v>
      </c>
      <c r="H56" s="53">
        <f t="shared" si="0"/>
        <v>76.869565217391312</v>
      </c>
      <c r="I56" s="3"/>
    </row>
    <row r="57" spans="1:9" ht="19.5" customHeight="1">
      <c r="A57" s="31"/>
      <c r="B57" s="29" t="s">
        <v>11</v>
      </c>
      <c r="C57" s="1" t="s">
        <v>6</v>
      </c>
      <c r="D57" s="25">
        <f t="shared" ref="D57:G57" si="26">D58/D56*10</f>
        <v>119.96580027359781</v>
      </c>
      <c r="E57" s="25">
        <f t="shared" si="26"/>
        <v>134.57142857142858</v>
      </c>
      <c r="F57" s="25">
        <f t="shared" si="26"/>
        <v>136.63173913043477</v>
      </c>
      <c r="G57" s="25">
        <f t="shared" si="26"/>
        <v>99.556561085972831</v>
      </c>
      <c r="H57" s="48">
        <f t="shared" si="0"/>
        <v>72.864886094241754</v>
      </c>
      <c r="I57" s="3"/>
    </row>
    <row r="58" spans="1:9" ht="19.5" customHeight="1">
      <c r="A58" s="31"/>
      <c r="B58" s="29" t="s">
        <v>12</v>
      </c>
      <c r="C58" s="1" t="s">
        <v>47</v>
      </c>
      <c r="D58" s="26">
        <f t="shared" ref="D58:G58" si="27">D61+D64</f>
        <v>2630.85</v>
      </c>
      <c r="E58" s="26">
        <f t="shared" si="27"/>
        <v>3485.4</v>
      </c>
      <c r="F58" s="26">
        <f t="shared" si="27"/>
        <v>3142.5299999999997</v>
      </c>
      <c r="G58" s="26">
        <f t="shared" si="27"/>
        <v>1760.1599999999999</v>
      </c>
      <c r="H58" s="48">
        <f t="shared" si="0"/>
        <v>56.010921136791062</v>
      </c>
      <c r="I58" s="3"/>
    </row>
    <row r="59" spans="1:9" ht="19.5" customHeight="1">
      <c r="A59" s="1"/>
      <c r="B59" s="118" t="s">
        <v>210</v>
      </c>
      <c r="C59" s="18" t="s">
        <v>20</v>
      </c>
      <c r="D59" s="19">
        <v>97.3</v>
      </c>
      <c r="E59" s="19">
        <v>137</v>
      </c>
      <c r="F59" s="19">
        <v>123</v>
      </c>
      <c r="G59" s="19">
        <v>115.8</v>
      </c>
      <c r="H59" s="48">
        <f t="shared" si="0"/>
        <v>94.146341463414629</v>
      </c>
      <c r="I59" s="3"/>
    </row>
    <row r="60" spans="1:9" ht="19.5" customHeight="1">
      <c r="A60" s="1"/>
      <c r="B60" s="118" t="s">
        <v>11</v>
      </c>
      <c r="C60" s="18" t="s">
        <v>6</v>
      </c>
      <c r="D60" s="30">
        <v>145</v>
      </c>
      <c r="E60" s="30">
        <v>152</v>
      </c>
      <c r="F60" s="30">
        <v>151.1</v>
      </c>
      <c r="G60" s="30">
        <v>152</v>
      </c>
      <c r="H60" s="48">
        <f t="shared" si="0"/>
        <v>100.59563203176705</v>
      </c>
      <c r="I60" s="3"/>
    </row>
    <row r="61" spans="1:9" ht="19.5" customHeight="1">
      <c r="A61" s="1"/>
      <c r="B61" s="118" t="s">
        <v>12</v>
      </c>
      <c r="C61" s="18" t="s">
        <v>47</v>
      </c>
      <c r="D61" s="19">
        <f t="shared" ref="D61:G61" si="28">D60*D59/10</f>
        <v>1410.85</v>
      </c>
      <c r="E61" s="19">
        <f t="shared" si="28"/>
        <v>2082.4</v>
      </c>
      <c r="F61" s="19">
        <f t="shared" si="28"/>
        <v>1858.53</v>
      </c>
      <c r="G61" s="19">
        <f t="shared" si="28"/>
        <v>1760.1599999999999</v>
      </c>
      <c r="H61" s="48">
        <f t="shared" si="0"/>
        <v>94.707107229907493</v>
      </c>
      <c r="I61" s="3"/>
    </row>
    <row r="62" spans="1:9" ht="19.5" customHeight="1">
      <c r="A62" s="1"/>
      <c r="B62" s="118" t="s">
        <v>211</v>
      </c>
      <c r="C62" s="18" t="s">
        <v>20</v>
      </c>
      <c r="D62" s="19">
        <v>122</v>
      </c>
      <c r="E62" s="19">
        <v>122</v>
      </c>
      <c r="F62" s="19">
        <v>107</v>
      </c>
      <c r="G62" s="19">
        <v>61</v>
      </c>
      <c r="H62" s="48">
        <f t="shared" si="0"/>
        <v>57.009345794392523</v>
      </c>
      <c r="I62" s="3"/>
    </row>
    <row r="63" spans="1:9" ht="19.5" customHeight="1">
      <c r="A63" s="1"/>
      <c r="B63" s="118" t="s">
        <v>11</v>
      </c>
      <c r="C63" s="18" t="s">
        <v>6</v>
      </c>
      <c r="D63" s="30">
        <v>100</v>
      </c>
      <c r="E63" s="30">
        <v>115</v>
      </c>
      <c r="F63" s="30">
        <v>120</v>
      </c>
      <c r="G63" s="30"/>
      <c r="H63" s="48">
        <f t="shared" si="0"/>
        <v>0</v>
      </c>
      <c r="I63" s="3"/>
    </row>
    <row r="64" spans="1:9" ht="19.5" customHeight="1">
      <c r="A64" s="1"/>
      <c r="B64" s="118" t="s">
        <v>12</v>
      </c>
      <c r="C64" s="18" t="s">
        <v>47</v>
      </c>
      <c r="D64" s="19">
        <f t="shared" ref="D64:G64" si="29">D63*D62/10</f>
        <v>1220</v>
      </c>
      <c r="E64" s="19">
        <f t="shared" si="29"/>
        <v>1403</v>
      </c>
      <c r="F64" s="19">
        <f t="shared" si="29"/>
        <v>1284</v>
      </c>
      <c r="G64" s="19">
        <f t="shared" si="29"/>
        <v>0</v>
      </c>
      <c r="H64" s="48">
        <f t="shared" si="0"/>
        <v>0</v>
      </c>
      <c r="I64" s="3"/>
    </row>
    <row r="65" spans="1:10" s="15" customFormat="1" ht="31.2">
      <c r="A65" s="8">
        <v>5</v>
      </c>
      <c r="B65" s="12" t="s">
        <v>179</v>
      </c>
      <c r="C65" s="8" t="s">
        <v>20</v>
      </c>
      <c r="D65" s="28">
        <f t="shared" ref="D65:E65" si="30">SUM(D66:D68)</f>
        <v>7.5</v>
      </c>
      <c r="E65" s="28">
        <f t="shared" si="30"/>
        <v>31.2</v>
      </c>
      <c r="F65" s="28">
        <f t="shared" ref="F65" si="31">SUM(F66:F69)</f>
        <v>32</v>
      </c>
      <c r="G65" s="28">
        <v>14</v>
      </c>
      <c r="H65" s="53">
        <f t="shared" si="0"/>
        <v>43.75</v>
      </c>
      <c r="I65" s="69"/>
    </row>
    <row r="66" spans="1:10" s="88" customFormat="1" ht="19.5" hidden="1" customHeight="1" outlineLevel="1">
      <c r="A66" s="84"/>
      <c r="B66" s="85" t="s">
        <v>170</v>
      </c>
      <c r="C66" s="84" t="s">
        <v>20</v>
      </c>
      <c r="D66" s="133">
        <v>3.7</v>
      </c>
      <c r="E66" s="133">
        <v>4</v>
      </c>
      <c r="F66" s="133">
        <v>4</v>
      </c>
      <c r="G66" s="133">
        <v>2.5</v>
      </c>
      <c r="H66" s="87">
        <f t="shared" si="0"/>
        <v>62.5</v>
      </c>
      <c r="I66" s="111"/>
    </row>
    <row r="67" spans="1:10" s="88" customFormat="1" ht="19.5" hidden="1" customHeight="1" outlineLevel="1">
      <c r="A67" s="84"/>
      <c r="B67" s="85" t="s">
        <v>171</v>
      </c>
      <c r="C67" s="84" t="s">
        <v>20</v>
      </c>
      <c r="D67" s="133">
        <v>3.8</v>
      </c>
      <c r="E67" s="133">
        <v>4</v>
      </c>
      <c r="F67" s="133">
        <v>4</v>
      </c>
      <c r="G67" s="133">
        <v>0.8</v>
      </c>
      <c r="H67" s="87">
        <f t="shared" si="0"/>
        <v>20</v>
      </c>
      <c r="I67" s="111"/>
    </row>
    <row r="68" spans="1:10" s="88" customFormat="1" ht="19.5" hidden="1" customHeight="1" outlineLevel="1">
      <c r="A68" s="84"/>
      <c r="B68" s="85" t="s">
        <v>172</v>
      </c>
      <c r="C68" s="84" t="s">
        <v>20</v>
      </c>
      <c r="D68" s="133"/>
      <c r="E68" s="133">
        <v>23.2</v>
      </c>
      <c r="F68" s="133">
        <v>24</v>
      </c>
      <c r="G68" s="133">
        <v>15.1</v>
      </c>
      <c r="H68" s="87">
        <f t="shared" si="0"/>
        <v>62.916666666666664</v>
      </c>
      <c r="I68" s="111"/>
    </row>
    <row r="69" spans="1:10" s="88" customFormat="1" ht="19.5" hidden="1" customHeight="1" outlineLevel="1">
      <c r="A69" s="84"/>
      <c r="B69" s="85" t="s">
        <v>249</v>
      </c>
      <c r="C69" s="84" t="s">
        <v>20</v>
      </c>
      <c r="D69" s="133"/>
      <c r="E69" s="133"/>
      <c r="F69" s="133"/>
      <c r="G69" s="133"/>
      <c r="H69" s="87" t="str">
        <f t="shared" si="0"/>
        <v/>
      </c>
      <c r="I69" s="111"/>
    </row>
    <row r="70" spans="1:10" ht="17.25" customHeight="1" collapsed="1">
      <c r="A70" s="21" t="s">
        <v>22</v>
      </c>
      <c r="B70" s="12" t="s">
        <v>52</v>
      </c>
      <c r="C70" s="8" t="s">
        <v>20</v>
      </c>
      <c r="D70" s="24">
        <f t="shared" ref="D70:G70" si="32">D71+D84+D85</f>
        <v>9814</v>
      </c>
      <c r="E70" s="24">
        <f t="shared" si="32"/>
        <v>10071.6</v>
      </c>
      <c r="F70" s="24">
        <f t="shared" si="32"/>
        <v>10122.1</v>
      </c>
      <c r="G70" s="24">
        <f t="shared" si="32"/>
        <v>10330.699999999999</v>
      </c>
      <c r="H70" s="53">
        <f t="shared" si="0"/>
        <v>102.06083717805592</v>
      </c>
      <c r="I70" s="3"/>
    </row>
    <row r="71" spans="1:10" s="15" customFormat="1" ht="17.25" customHeight="1">
      <c r="A71" s="21">
        <v>1</v>
      </c>
      <c r="B71" s="20" t="s">
        <v>199</v>
      </c>
      <c r="C71" s="8" t="s">
        <v>20</v>
      </c>
      <c r="D71" s="24">
        <f t="shared" ref="D71:G71" si="33">D72+D78</f>
        <v>9537.2999999999993</v>
      </c>
      <c r="E71" s="24">
        <f t="shared" si="33"/>
        <v>9722.1</v>
      </c>
      <c r="F71" s="24">
        <f t="shared" si="33"/>
        <v>9772.1</v>
      </c>
      <c r="G71" s="24">
        <f t="shared" si="33"/>
        <v>9981.7999999999993</v>
      </c>
      <c r="H71" s="53">
        <f t="shared" si="0"/>
        <v>102.14590517903008</v>
      </c>
      <c r="I71" s="69"/>
    </row>
    <row r="72" spans="1:10" s="15" customFormat="1" ht="17.25" customHeight="1">
      <c r="A72" s="8" t="s">
        <v>17</v>
      </c>
      <c r="B72" s="12" t="s">
        <v>196</v>
      </c>
      <c r="C72" s="8" t="s">
        <v>20</v>
      </c>
      <c r="D72" s="13">
        <v>1743.8</v>
      </c>
      <c r="E72" s="13">
        <f>D72+E73</f>
        <v>1919.5</v>
      </c>
      <c r="F72" s="13">
        <f>E72+F73</f>
        <v>1969.5</v>
      </c>
      <c r="G72" s="13">
        <f>E72+G73-G74</f>
        <v>2246.5</v>
      </c>
      <c r="H72" s="53">
        <f t="shared" si="0"/>
        <v>114.06448337141406</v>
      </c>
      <c r="I72" s="69"/>
    </row>
    <row r="73" spans="1:10" ht="17.25" customHeight="1">
      <c r="A73" s="1"/>
      <c r="B73" s="17" t="s">
        <v>53</v>
      </c>
      <c r="C73" s="1" t="s">
        <v>20</v>
      </c>
      <c r="D73" s="30">
        <v>185.9</v>
      </c>
      <c r="E73" s="30">
        <v>175.7</v>
      </c>
      <c r="F73" s="30">
        <v>50</v>
      </c>
      <c r="G73" s="30">
        <v>333</v>
      </c>
      <c r="H73" s="48">
        <f t="shared" si="0"/>
        <v>666</v>
      </c>
      <c r="I73" s="3"/>
    </row>
    <row r="74" spans="1:10" ht="17.25" customHeight="1">
      <c r="A74" s="1"/>
      <c r="B74" s="17" t="s">
        <v>116</v>
      </c>
      <c r="C74" s="1" t="s">
        <v>20</v>
      </c>
      <c r="D74" s="30"/>
      <c r="E74" s="30"/>
      <c r="F74" s="30"/>
      <c r="G74" s="30">
        <v>6</v>
      </c>
      <c r="H74" s="48"/>
      <c r="I74" s="3"/>
    </row>
    <row r="75" spans="1:10" ht="17.25" customHeight="1">
      <c r="A75" s="1"/>
      <c r="B75" s="17" t="s">
        <v>54</v>
      </c>
      <c r="C75" s="1" t="s">
        <v>20</v>
      </c>
      <c r="D75" s="19">
        <v>1246</v>
      </c>
      <c r="E75" s="19">
        <v>1384</v>
      </c>
      <c r="F75" s="19">
        <v>1559</v>
      </c>
      <c r="G75" s="19"/>
      <c r="H75" s="48">
        <f t="shared" ref="H75:H90" si="34">IFERROR(G75/F75%,"")</f>
        <v>0</v>
      </c>
      <c r="I75" s="3"/>
      <c r="J75" s="67"/>
    </row>
    <row r="76" spans="1:10" ht="17.25" customHeight="1">
      <c r="A76" s="1"/>
      <c r="B76" s="17" t="s">
        <v>55</v>
      </c>
      <c r="C76" s="1" t="s">
        <v>6</v>
      </c>
      <c r="D76" s="30">
        <v>31.73</v>
      </c>
      <c r="E76" s="30">
        <v>35.65</v>
      </c>
      <c r="F76" s="30">
        <v>35</v>
      </c>
      <c r="G76" s="30"/>
      <c r="H76" s="48">
        <f t="shared" si="34"/>
        <v>0</v>
      </c>
      <c r="I76" s="3"/>
    </row>
    <row r="77" spans="1:10" ht="17.25" customHeight="1">
      <c r="A77" s="1"/>
      <c r="B77" s="17" t="s">
        <v>115</v>
      </c>
      <c r="C77" s="1" t="s">
        <v>47</v>
      </c>
      <c r="D77" s="19">
        <f t="shared" ref="D77:G77" si="35">D75*D76/10</f>
        <v>3953.558</v>
      </c>
      <c r="E77" s="19">
        <f t="shared" si="35"/>
        <v>4933.96</v>
      </c>
      <c r="F77" s="19">
        <f t="shared" si="35"/>
        <v>5456.5</v>
      </c>
      <c r="G77" s="66">
        <f t="shared" si="35"/>
        <v>0</v>
      </c>
      <c r="H77" s="48">
        <f t="shared" si="34"/>
        <v>0</v>
      </c>
      <c r="I77" s="3"/>
    </row>
    <row r="78" spans="1:10" s="15" customFormat="1" ht="17.25" customHeight="1">
      <c r="A78" s="8" t="s">
        <v>18</v>
      </c>
      <c r="B78" s="12" t="s">
        <v>197</v>
      </c>
      <c r="C78" s="8" t="s">
        <v>20</v>
      </c>
      <c r="D78" s="13">
        <v>7793.5</v>
      </c>
      <c r="E78" s="13">
        <f>D78+E79-E80</f>
        <v>7802.6</v>
      </c>
      <c r="F78" s="13">
        <f>E78+F79-F80</f>
        <v>7802.6</v>
      </c>
      <c r="G78" s="13">
        <f>E78+G79-G80</f>
        <v>7735.3</v>
      </c>
      <c r="H78" s="53">
        <f t="shared" si="34"/>
        <v>99.137466998180088</v>
      </c>
      <c r="I78" s="69"/>
    </row>
    <row r="79" spans="1:10" ht="17.25" customHeight="1">
      <c r="A79" s="1"/>
      <c r="B79" s="17" t="s">
        <v>53</v>
      </c>
      <c r="C79" s="1" t="s">
        <v>20</v>
      </c>
      <c r="D79" s="35">
        <v>0</v>
      </c>
      <c r="E79" s="25">
        <v>24.6</v>
      </c>
      <c r="F79" s="35"/>
      <c r="G79" s="35">
        <v>14.3</v>
      </c>
      <c r="H79" s="48" t="str">
        <f t="shared" si="34"/>
        <v/>
      </c>
      <c r="I79" s="3"/>
    </row>
    <row r="80" spans="1:10" ht="17.25" customHeight="1">
      <c r="A80" s="1"/>
      <c r="B80" s="17" t="s">
        <v>116</v>
      </c>
      <c r="C80" s="1" t="s">
        <v>20</v>
      </c>
      <c r="D80" s="25">
        <v>81.5</v>
      </c>
      <c r="E80" s="25">
        <v>15.5</v>
      </c>
      <c r="F80" s="35"/>
      <c r="G80" s="35">
        <v>81.599999999999994</v>
      </c>
      <c r="H80" s="48" t="str">
        <f t="shared" si="34"/>
        <v/>
      </c>
      <c r="I80" s="3"/>
    </row>
    <row r="81" spans="1:11" ht="17.25" customHeight="1">
      <c r="A81" s="1"/>
      <c r="B81" s="17" t="s">
        <v>54</v>
      </c>
      <c r="C81" s="1" t="s">
        <v>20</v>
      </c>
      <c r="D81" s="19">
        <v>4821</v>
      </c>
      <c r="E81" s="19">
        <v>5385</v>
      </c>
      <c r="F81" s="19">
        <v>5755</v>
      </c>
      <c r="G81" s="19">
        <v>5724</v>
      </c>
      <c r="H81" s="48">
        <f t="shared" si="34"/>
        <v>99.461337966985241</v>
      </c>
      <c r="I81" s="3"/>
    </row>
    <row r="82" spans="1:11" ht="17.25" customHeight="1">
      <c r="A82" s="1"/>
      <c r="B82" s="17" t="s">
        <v>56</v>
      </c>
      <c r="C82" s="1" t="s">
        <v>6</v>
      </c>
      <c r="D82" s="30">
        <v>12.33</v>
      </c>
      <c r="E82" s="30">
        <v>12.35</v>
      </c>
      <c r="F82" s="30">
        <v>12.5</v>
      </c>
      <c r="G82" s="30"/>
      <c r="H82" s="48">
        <f t="shared" si="34"/>
        <v>0</v>
      </c>
      <c r="I82" s="3"/>
    </row>
    <row r="83" spans="1:11" ht="17.25" customHeight="1">
      <c r="A83" s="1"/>
      <c r="B83" s="17" t="s">
        <v>225</v>
      </c>
      <c r="C83" s="1" t="s">
        <v>47</v>
      </c>
      <c r="D83" s="19">
        <f t="shared" ref="D83:G83" si="36">D81*D82/10</f>
        <v>5944.2929999999997</v>
      </c>
      <c r="E83" s="19">
        <f t="shared" si="36"/>
        <v>6650.4750000000004</v>
      </c>
      <c r="F83" s="19">
        <f t="shared" si="36"/>
        <v>7193.75</v>
      </c>
      <c r="G83" s="66">
        <f t="shared" si="36"/>
        <v>0</v>
      </c>
      <c r="H83" s="48">
        <f t="shared" si="34"/>
        <v>0</v>
      </c>
      <c r="I83" s="3"/>
    </row>
    <row r="84" spans="1:11" s="15" customFormat="1" ht="17.25" customHeight="1">
      <c r="A84" s="8">
        <v>2</v>
      </c>
      <c r="B84" s="12" t="s">
        <v>78</v>
      </c>
      <c r="C84" s="8" t="s">
        <v>20</v>
      </c>
      <c r="D84" s="13">
        <v>155.19999999999999</v>
      </c>
      <c r="E84" s="13">
        <v>218.9</v>
      </c>
      <c r="F84" s="13">
        <v>220</v>
      </c>
      <c r="G84" s="13">
        <v>218.9</v>
      </c>
      <c r="H84" s="53">
        <f t="shared" si="34"/>
        <v>99.5</v>
      </c>
      <c r="I84" s="69"/>
    </row>
    <row r="85" spans="1:11" s="15" customFormat="1">
      <c r="A85" s="8">
        <v>3</v>
      </c>
      <c r="B85" s="12" t="s">
        <v>178</v>
      </c>
      <c r="C85" s="8" t="s">
        <v>20</v>
      </c>
      <c r="D85" s="13">
        <f t="shared" ref="D85:F85" si="37">SUM(D86:D90)</f>
        <v>121.5</v>
      </c>
      <c r="E85" s="13">
        <f t="shared" si="37"/>
        <v>130.60000000000002</v>
      </c>
      <c r="F85" s="13">
        <f t="shared" si="37"/>
        <v>130</v>
      </c>
      <c r="G85" s="13">
        <v>130</v>
      </c>
      <c r="H85" s="53">
        <f t="shared" si="34"/>
        <v>100</v>
      </c>
      <c r="I85" s="69"/>
      <c r="J85" s="73"/>
      <c r="K85" s="73"/>
    </row>
    <row r="86" spans="1:11" s="88" customFormat="1" ht="17.25" hidden="1" customHeight="1" outlineLevel="1">
      <c r="A86" s="84"/>
      <c r="B86" s="85" t="s">
        <v>173</v>
      </c>
      <c r="C86" s="84" t="s">
        <v>20</v>
      </c>
      <c r="D86" s="132">
        <v>18.5</v>
      </c>
      <c r="E86" s="132">
        <v>17</v>
      </c>
      <c r="F86" s="132">
        <v>17</v>
      </c>
      <c r="G86" s="132"/>
      <c r="H86" s="106">
        <f t="shared" si="34"/>
        <v>0</v>
      </c>
      <c r="I86" s="111"/>
    </row>
    <row r="87" spans="1:11" s="88" customFormat="1" ht="17.25" hidden="1" customHeight="1" outlineLevel="1">
      <c r="A87" s="84"/>
      <c r="B87" s="85" t="s">
        <v>174</v>
      </c>
      <c r="C87" s="84" t="s">
        <v>20</v>
      </c>
      <c r="D87" s="132">
        <v>54.6</v>
      </c>
      <c r="E87" s="132">
        <v>61.9</v>
      </c>
      <c r="F87" s="132">
        <v>62</v>
      </c>
      <c r="G87" s="132"/>
      <c r="H87" s="106">
        <f t="shared" si="34"/>
        <v>0</v>
      </c>
      <c r="I87" s="111"/>
    </row>
    <row r="88" spans="1:11" s="88" customFormat="1" ht="17.25" hidden="1" customHeight="1" outlineLevel="1">
      <c r="A88" s="84"/>
      <c r="B88" s="85" t="s">
        <v>175</v>
      </c>
      <c r="C88" s="84" t="s">
        <v>20</v>
      </c>
      <c r="D88" s="132">
        <v>2</v>
      </c>
      <c r="E88" s="132">
        <v>2</v>
      </c>
      <c r="F88" s="132">
        <v>2</v>
      </c>
      <c r="G88" s="132"/>
      <c r="H88" s="106">
        <f t="shared" si="34"/>
        <v>0</v>
      </c>
      <c r="I88" s="111"/>
    </row>
    <row r="89" spans="1:11" s="88" customFormat="1" ht="17.25" hidden="1" customHeight="1" outlineLevel="1">
      <c r="A89" s="84"/>
      <c r="B89" s="85" t="s">
        <v>176</v>
      </c>
      <c r="C89" s="84" t="s">
        <v>20</v>
      </c>
      <c r="D89" s="132">
        <v>46.4</v>
      </c>
      <c r="E89" s="132">
        <v>30.4</v>
      </c>
      <c r="F89" s="132">
        <v>30</v>
      </c>
      <c r="G89" s="132"/>
      <c r="H89" s="106">
        <f t="shared" si="34"/>
        <v>0</v>
      </c>
      <c r="I89" s="111"/>
    </row>
    <row r="90" spans="1:11" s="88" customFormat="1" ht="17.25" hidden="1" customHeight="1" outlineLevel="1">
      <c r="A90" s="84"/>
      <c r="B90" s="85" t="s">
        <v>177</v>
      </c>
      <c r="C90" s="84" t="s">
        <v>20</v>
      </c>
      <c r="D90" s="132"/>
      <c r="E90" s="132">
        <v>19.3</v>
      </c>
      <c r="F90" s="132">
        <v>19</v>
      </c>
      <c r="G90" s="132"/>
      <c r="H90" s="106">
        <f t="shared" si="34"/>
        <v>0</v>
      </c>
      <c r="I90" s="111"/>
    </row>
    <row r="91" spans="1:11" s="88" customFormat="1" ht="17.25" hidden="1" customHeight="1" outlineLevel="1">
      <c r="A91" s="84"/>
      <c r="B91" s="85" t="s">
        <v>249</v>
      </c>
      <c r="C91" s="84" t="s">
        <v>20</v>
      </c>
      <c r="D91" s="132"/>
      <c r="E91" s="132"/>
      <c r="F91" s="132"/>
      <c r="G91" s="132"/>
      <c r="H91" s="106"/>
      <c r="I91" s="111"/>
    </row>
    <row r="92" spans="1:11" ht="18.75" customHeight="1" collapsed="1">
      <c r="A92" s="8" t="s">
        <v>25</v>
      </c>
      <c r="B92" s="12" t="s">
        <v>48</v>
      </c>
      <c r="C92" s="1"/>
      <c r="D92" s="25"/>
      <c r="E92" s="30"/>
      <c r="F92" s="30"/>
      <c r="G92" s="30"/>
      <c r="H92" s="53" t="str">
        <f t="shared" ref="H92:H118" si="38">IFERROR(G92/F92%,"")</f>
        <v/>
      </c>
      <c r="I92" s="3"/>
    </row>
    <row r="93" spans="1:11" s="15" customFormat="1" ht="18.75" customHeight="1">
      <c r="A93" s="8">
        <v>1</v>
      </c>
      <c r="B93" s="12" t="s">
        <v>198</v>
      </c>
      <c r="C93" s="8" t="s">
        <v>31</v>
      </c>
      <c r="D93" s="24">
        <f>SUM(D94:D96)</f>
        <v>20219</v>
      </c>
      <c r="E93" s="24">
        <f t="shared" ref="E93:G93" si="39">SUM(E94:E96)</f>
        <v>18350</v>
      </c>
      <c r="F93" s="24">
        <f t="shared" si="39"/>
        <v>20650</v>
      </c>
      <c r="G93" s="24">
        <f t="shared" si="39"/>
        <v>20225</v>
      </c>
      <c r="H93" s="53">
        <f t="shared" si="38"/>
        <v>97.941888619854723</v>
      </c>
      <c r="I93" s="69"/>
    </row>
    <row r="94" spans="1:11" ht="18.75" customHeight="1">
      <c r="A94" s="1"/>
      <c r="B94" s="17" t="s">
        <v>117</v>
      </c>
      <c r="C94" s="1" t="s">
        <v>31</v>
      </c>
      <c r="D94" s="26">
        <v>2461</v>
      </c>
      <c r="E94" s="26">
        <v>2550</v>
      </c>
      <c r="F94" s="26">
        <v>2650</v>
      </c>
      <c r="G94" s="26">
        <v>2579</v>
      </c>
      <c r="H94" s="48">
        <f t="shared" si="38"/>
        <v>97.320754716981128</v>
      </c>
      <c r="I94" s="3"/>
    </row>
    <row r="95" spans="1:11" ht="18.75" customHeight="1">
      <c r="A95" s="1"/>
      <c r="B95" s="17" t="s">
        <v>118</v>
      </c>
      <c r="C95" s="1" t="s">
        <v>31</v>
      </c>
      <c r="D95" s="26">
        <v>4034</v>
      </c>
      <c r="E95" s="26">
        <v>4800</v>
      </c>
      <c r="F95" s="26">
        <v>5000</v>
      </c>
      <c r="G95" s="26">
        <v>5075</v>
      </c>
      <c r="H95" s="48">
        <f t="shared" si="38"/>
        <v>101.5</v>
      </c>
      <c r="I95" s="3"/>
    </row>
    <row r="96" spans="1:11" ht="18.75" customHeight="1">
      <c r="A96" s="1"/>
      <c r="B96" s="17" t="s">
        <v>119</v>
      </c>
      <c r="C96" s="1" t="s">
        <v>31</v>
      </c>
      <c r="D96" s="26">
        <v>13724</v>
      </c>
      <c r="E96" s="26">
        <v>11000</v>
      </c>
      <c r="F96" s="26">
        <v>13000</v>
      </c>
      <c r="G96" s="26">
        <v>12571</v>
      </c>
      <c r="H96" s="48">
        <f t="shared" si="38"/>
        <v>96.7</v>
      </c>
      <c r="I96" s="3"/>
    </row>
    <row r="97" spans="1:11" s="15" customFormat="1" ht="18.75" customHeight="1">
      <c r="A97" s="8">
        <v>2</v>
      </c>
      <c r="B97" s="36" t="s">
        <v>15</v>
      </c>
      <c r="C97" s="8" t="s">
        <v>31</v>
      </c>
      <c r="D97" s="24">
        <v>77894</v>
      </c>
      <c r="E97" s="24">
        <v>87000</v>
      </c>
      <c r="F97" s="24">
        <v>87000</v>
      </c>
      <c r="G97" s="24">
        <v>84840</v>
      </c>
      <c r="H97" s="53">
        <f t="shared" si="38"/>
        <v>97.517241379310349</v>
      </c>
      <c r="I97" s="69"/>
    </row>
    <row r="98" spans="1:11" s="15" customFormat="1" ht="18.75" customHeight="1">
      <c r="A98" s="8" t="s">
        <v>26</v>
      </c>
      <c r="B98" s="36" t="s">
        <v>120</v>
      </c>
      <c r="C98" s="8"/>
      <c r="D98" s="24"/>
      <c r="E98" s="24"/>
      <c r="F98" s="24"/>
      <c r="G98" s="24"/>
      <c r="H98" s="53" t="str">
        <f t="shared" si="38"/>
        <v/>
      </c>
      <c r="I98" s="69"/>
    </row>
    <row r="99" spans="1:11" ht="18.75" customHeight="1">
      <c r="A99" s="1">
        <v>1</v>
      </c>
      <c r="B99" s="29" t="s">
        <v>121</v>
      </c>
      <c r="C99" s="1" t="s">
        <v>20</v>
      </c>
      <c r="D99" s="25">
        <v>85</v>
      </c>
      <c r="E99" s="25">
        <v>85.5</v>
      </c>
      <c r="F99" s="25">
        <v>85.5</v>
      </c>
      <c r="G99" s="25">
        <v>85.4</v>
      </c>
      <c r="H99" s="48">
        <f t="shared" si="38"/>
        <v>99.883040935672526</v>
      </c>
      <c r="I99" s="3"/>
    </row>
    <row r="100" spans="1:11" ht="18.75" customHeight="1">
      <c r="A100" s="1">
        <v>2</v>
      </c>
      <c r="B100" s="29" t="s">
        <v>122</v>
      </c>
      <c r="C100" s="1" t="s">
        <v>47</v>
      </c>
      <c r="D100" s="26">
        <f t="shared" ref="D100:G100" si="40">D101+D102</f>
        <v>427.4</v>
      </c>
      <c r="E100" s="26">
        <f t="shared" si="40"/>
        <v>320</v>
      </c>
      <c r="F100" s="26">
        <f t="shared" si="40"/>
        <v>335</v>
      </c>
      <c r="G100" s="26">
        <f t="shared" si="40"/>
        <v>105.7</v>
      </c>
      <c r="H100" s="48">
        <f t="shared" si="38"/>
        <v>31.552238805970148</v>
      </c>
      <c r="I100" s="3"/>
    </row>
    <row r="101" spans="1:11" ht="18.75" customHeight="1">
      <c r="A101" s="1"/>
      <c r="B101" s="38" t="s">
        <v>123</v>
      </c>
      <c r="C101" s="1" t="s">
        <v>47</v>
      </c>
      <c r="D101" s="26">
        <v>211.9</v>
      </c>
      <c r="E101" s="26">
        <v>210</v>
      </c>
      <c r="F101" s="26">
        <v>210</v>
      </c>
      <c r="G101" s="26">
        <v>74.5</v>
      </c>
      <c r="H101" s="48">
        <f t="shared" si="38"/>
        <v>35.476190476190474</v>
      </c>
      <c r="I101" s="3"/>
    </row>
    <row r="102" spans="1:11" ht="18.75" customHeight="1">
      <c r="A102" s="1"/>
      <c r="B102" s="38" t="s">
        <v>124</v>
      </c>
      <c r="C102" s="1" t="s">
        <v>47</v>
      </c>
      <c r="D102" s="26">
        <v>215.5</v>
      </c>
      <c r="E102" s="26">
        <v>110</v>
      </c>
      <c r="F102" s="26">
        <v>125</v>
      </c>
      <c r="G102" s="26">
        <v>31.2</v>
      </c>
      <c r="H102" s="48">
        <f t="shared" si="38"/>
        <v>24.96</v>
      </c>
      <c r="I102" s="3"/>
    </row>
    <row r="103" spans="1:11">
      <c r="A103" s="39" t="s">
        <v>28</v>
      </c>
      <c r="B103" s="40" t="s">
        <v>49</v>
      </c>
      <c r="C103" s="39"/>
      <c r="D103" s="10"/>
      <c r="E103" s="10"/>
      <c r="F103" s="10"/>
      <c r="G103" s="10"/>
      <c r="H103" s="53" t="str">
        <f t="shared" si="38"/>
        <v/>
      </c>
      <c r="I103" s="3"/>
    </row>
    <row r="104" spans="1:11" ht="19.5" customHeight="1">
      <c r="A104" s="145">
        <v>1</v>
      </c>
      <c r="B104" s="42" t="s">
        <v>252</v>
      </c>
      <c r="C104" s="1" t="s">
        <v>20</v>
      </c>
      <c r="D104" s="43">
        <v>500.3</v>
      </c>
      <c r="E104" s="43">
        <v>4</v>
      </c>
      <c r="F104" s="43"/>
      <c r="G104" s="43"/>
      <c r="H104" s="53" t="str">
        <f t="shared" si="38"/>
        <v/>
      </c>
      <c r="I104" s="3"/>
    </row>
    <row r="105" spans="1:11" s="34" customFormat="1" ht="19.5" customHeight="1">
      <c r="A105" s="142"/>
      <c r="B105" s="143" t="s">
        <v>53</v>
      </c>
      <c r="C105" s="31" t="s">
        <v>20</v>
      </c>
      <c r="D105" s="144">
        <v>500.3</v>
      </c>
      <c r="E105" s="144">
        <v>4</v>
      </c>
      <c r="F105" s="144"/>
      <c r="G105" s="144"/>
      <c r="H105" s="134" t="str">
        <f t="shared" si="38"/>
        <v/>
      </c>
      <c r="I105" s="70"/>
    </row>
    <row r="106" spans="1:11" ht="17.25" customHeight="1">
      <c r="A106" s="1">
        <v>2</v>
      </c>
      <c r="B106" s="17" t="s">
        <v>14</v>
      </c>
      <c r="C106" s="1" t="s">
        <v>20</v>
      </c>
      <c r="D106" s="19">
        <v>1646</v>
      </c>
      <c r="E106" s="19">
        <f>D106+E107</f>
        <v>1675</v>
      </c>
      <c r="F106" s="19">
        <f>E106+F107</f>
        <v>1710</v>
      </c>
      <c r="G106" s="19">
        <f>E106+G107</f>
        <v>1702</v>
      </c>
      <c r="H106" s="48">
        <f t="shared" si="38"/>
        <v>99.532163742690045</v>
      </c>
      <c r="I106" s="3"/>
      <c r="J106" s="67"/>
    </row>
    <row r="107" spans="1:11" ht="17.25" customHeight="1">
      <c r="A107" s="1"/>
      <c r="B107" s="17" t="s">
        <v>53</v>
      </c>
      <c r="C107" s="1" t="s">
        <v>20</v>
      </c>
      <c r="D107" s="19">
        <v>57.2</v>
      </c>
      <c r="E107" s="19">
        <v>29</v>
      </c>
      <c r="F107" s="19">
        <v>35</v>
      </c>
      <c r="G107" s="19">
        <v>27</v>
      </c>
      <c r="H107" s="48">
        <f t="shared" si="38"/>
        <v>77.142857142857153</v>
      </c>
      <c r="I107" s="3"/>
    </row>
    <row r="108" spans="1:11" s="15" customFormat="1" ht="21.75" customHeight="1">
      <c r="A108" s="90" t="s">
        <v>76</v>
      </c>
      <c r="B108" s="107" t="s">
        <v>80</v>
      </c>
      <c r="C108" s="90"/>
      <c r="D108" s="108"/>
      <c r="E108" s="108"/>
      <c r="F108" s="108"/>
      <c r="G108" s="108"/>
      <c r="H108" s="94" t="str">
        <f t="shared" si="38"/>
        <v/>
      </c>
      <c r="I108" s="94"/>
    </row>
    <row r="109" spans="1:11" s="15" customFormat="1" ht="22.5" customHeight="1">
      <c r="A109" s="8">
        <v>1</v>
      </c>
      <c r="B109" s="44" t="s">
        <v>200</v>
      </c>
      <c r="C109" s="8" t="s">
        <v>126</v>
      </c>
      <c r="D109" s="24">
        <v>676693</v>
      </c>
      <c r="E109" s="24">
        <v>708000</v>
      </c>
      <c r="F109" s="24">
        <v>722000</v>
      </c>
      <c r="G109" s="24">
        <v>410000</v>
      </c>
      <c r="H109" s="53">
        <f t="shared" si="38"/>
        <v>56.78670360110803</v>
      </c>
      <c r="I109" s="69"/>
      <c r="K109" s="149"/>
    </row>
    <row r="110" spans="1:11" s="15" customFormat="1" ht="20.25" customHeight="1">
      <c r="A110" s="8">
        <v>2</v>
      </c>
      <c r="B110" s="12" t="s">
        <v>128</v>
      </c>
      <c r="C110" s="8"/>
      <c r="D110" s="126"/>
      <c r="E110" s="126"/>
      <c r="F110" s="126"/>
      <c r="G110" s="126"/>
      <c r="H110" s="53" t="str">
        <f t="shared" si="38"/>
        <v/>
      </c>
      <c r="I110" s="69"/>
    </row>
    <row r="111" spans="1:11" ht="20.25" customHeight="1">
      <c r="A111" s="1"/>
      <c r="B111" s="17" t="s">
        <v>129</v>
      </c>
      <c r="C111" s="1" t="s">
        <v>40</v>
      </c>
      <c r="D111" s="26">
        <v>40</v>
      </c>
      <c r="E111" s="26">
        <v>42</v>
      </c>
      <c r="F111" s="26">
        <v>40</v>
      </c>
      <c r="G111" s="26">
        <v>35</v>
      </c>
      <c r="H111" s="48">
        <f t="shared" si="38"/>
        <v>87.5</v>
      </c>
      <c r="I111" s="3"/>
    </row>
    <row r="112" spans="1:11" ht="20.25" customHeight="1">
      <c r="A112" s="1"/>
      <c r="B112" s="17" t="s">
        <v>135</v>
      </c>
      <c r="C112" s="1" t="s">
        <v>40</v>
      </c>
      <c r="D112" s="26">
        <v>35</v>
      </c>
      <c r="E112" s="26">
        <v>30</v>
      </c>
      <c r="F112" s="26">
        <v>40</v>
      </c>
      <c r="G112" s="26"/>
      <c r="H112" s="48">
        <f t="shared" si="38"/>
        <v>0</v>
      </c>
      <c r="I112" s="3"/>
    </row>
    <row r="113" spans="1:11" ht="20.25" customHeight="1">
      <c r="A113" s="1"/>
      <c r="B113" s="17" t="s">
        <v>130</v>
      </c>
      <c r="C113" s="1" t="s">
        <v>47</v>
      </c>
      <c r="D113" s="26">
        <v>57219</v>
      </c>
      <c r="E113" s="26">
        <v>60000</v>
      </c>
      <c r="F113" s="26">
        <v>55000</v>
      </c>
      <c r="G113" s="26">
        <v>33083</v>
      </c>
      <c r="H113" s="48">
        <f t="shared" si="38"/>
        <v>60.150909090909089</v>
      </c>
      <c r="I113" s="3"/>
    </row>
    <row r="114" spans="1:11" ht="20.25" customHeight="1">
      <c r="A114" s="1"/>
      <c r="B114" s="17" t="s">
        <v>131</v>
      </c>
      <c r="C114" s="1" t="s">
        <v>47</v>
      </c>
      <c r="D114" s="26">
        <v>12363</v>
      </c>
      <c r="E114" s="26">
        <v>13000</v>
      </c>
      <c r="F114" s="26">
        <v>12000</v>
      </c>
      <c r="G114" s="26">
        <v>6300</v>
      </c>
      <c r="H114" s="48">
        <f t="shared" si="38"/>
        <v>52.5</v>
      </c>
      <c r="I114" s="3"/>
    </row>
    <row r="115" spans="1:11" ht="20.25" customHeight="1">
      <c r="A115" s="1"/>
      <c r="B115" s="17" t="s">
        <v>132</v>
      </c>
      <c r="C115" s="1" t="s">
        <v>217</v>
      </c>
      <c r="D115" s="26">
        <v>39713</v>
      </c>
      <c r="E115" s="26">
        <v>41000</v>
      </c>
      <c r="F115" s="26">
        <v>60000</v>
      </c>
      <c r="G115" s="26"/>
      <c r="H115" s="48">
        <f t="shared" si="38"/>
        <v>0</v>
      </c>
      <c r="I115" s="3"/>
    </row>
    <row r="116" spans="1:11" ht="20.25" customHeight="1">
      <c r="A116" s="1"/>
      <c r="B116" s="17" t="s">
        <v>133</v>
      </c>
      <c r="C116" s="1" t="s">
        <v>217</v>
      </c>
      <c r="D116" s="26">
        <v>34500</v>
      </c>
      <c r="E116" s="26">
        <v>35000</v>
      </c>
      <c r="F116" s="26">
        <v>54000</v>
      </c>
      <c r="G116" s="26"/>
      <c r="H116" s="48">
        <f t="shared" si="38"/>
        <v>0</v>
      </c>
      <c r="I116" s="3"/>
    </row>
    <row r="117" spans="1:11" s="15" customFormat="1">
      <c r="A117" s="90" t="s">
        <v>79</v>
      </c>
      <c r="B117" s="95" t="s">
        <v>201</v>
      </c>
      <c r="C117" s="90"/>
      <c r="D117" s="109"/>
      <c r="E117" s="109"/>
      <c r="F117" s="109"/>
      <c r="G117" s="109"/>
      <c r="H117" s="94" t="str">
        <f t="shared" si="38"/>
        <v/>
      </c>
      <c r="I117" s="94"/>
    </row>
    <row r="118" spans="1:11" ht="22.5" customHeight="1">
      <c r="A118" s="1">
        <v>1</v>
      </c>
      <c r="B118" s="17" t="s">
        <v>81</v>
      </c>
      <c r="C118" s="1" t="s">
        <v>126</v>
      </c>
      <c r="D118" s="26">
        <v>560310</v>
      </c>
      <c r="E118" s="26">
        <v>595000</v>
      </c>
      <c r="F118" s="26">
        <v>696000</v>
      </c>
      <c r="G118" s="26">
        <v>338300</v>
      </c>
      <c r="H118" s="48">
        <f t="shared" si="38"/>
        <v>48.606321839080458</v>
      </c>
      <c r="I118" s="3"/>
    </row>
    <row r="119" spans="1:11" s="15" customFormat="1" ht="22.5" hidden="1" customHeight="1" outlineLevel="1">
      <c r="A119" s="8">
        <v>2</v>
      </c>
      <c r="B119" s="44" t="s">
        <v>240</v>
      </c>
      <c r="C119" s="1"/>
      <c r="D119" s="24"/>
      <c r="E119" s="24"/>
      <c r="F119" s="24"/>
      <c r="G119" s="24"/>
      <c r="H119" s="53"/>
      <c r="I119" s="69"/>
    </row>
    <row r="120" spans="1:11" ht="22.5" hidden="1" customHeight="1" outlineLevel="1">
      <c r="A120" s="1"/>
      <c r="B120" s="38" t="s">
        <v>241</v>
      </c>
      <c r="C120" s="1" t="s">
        <v>245</v>
      </c>
      <c r="D120" s="26"/>
      <c r="E120" s="26"/>
      <c r="F120" s="26"/>
      <c r="G120" s="26"/>
      <c r="H120" s="48" t="str">
        <f t="shared" ref="H120:H148" si="41">IFERROR(G120/F120%,"")</f>
        <v/>
      </c>
      <c r="I120" s="3"/>
    </row>
    <row r="121" spans="1:11" ht="22.5" hidden="1" customHeight="1" outlineLevel="1">
      <c r="A121" s="1"/>
      <c r="B121" s="38" t="s">
        <v>242</v>
      </c>
      <c r="C121" s="1" t="s">
        <v>27</v>
      </c>
      <c r="D121" s="26"/>
      <c r="E121" s="26"/>
      <c r="F121" s="26"/>
      <c r="G121" s="26"/>
      <c r="H121" s="48" t="str">
        <f t="shared" si="41"/>
        <v/>
      </c>
      <c r="I121" s="3"/>
    </row>
    <row r="122" spans="1:11" ht="22.5" hidden="1" customHeight="1" outlineLevel="1">
      <c r="A122" s="1"/>
      <c r="B122" s="38" t="s">
        <v>243</v>
      </c>
      <c r="C122" s="1" t="s">
        <v>126</v>
      </c>
      <c r="D122" s="26"/>
      <c r="E122" s="26"/>
      <c r="F122" s="26"/>
      <c r="G122" s="26"/>
      <c r="H122" s="48" t="str">
        <f t="shared" si="41"/>
        <v/>
      </c>
      <c r="I122" s="3"/>
    </row>
    <row r="123" spans="1:11" ht="22.5" hidden="1" customHeight="1" outlineLevel="1">
      <c r="A123" s="1"/>
      <c r="B123" s="38" t="s">
        <v>244</v>
      </c>
      <c r="C123" s="1" t="s">
        <v>16</v>
      </c>
      <c r="D123" s="26"/>
      <c r="E123" s="26"/>
      <c r="F123" s="26"/>
      <c r="G123" s="26"/>
      <c r="H123" s="48" t="str">
        <f t="shared" si="41"/>
        <v/>
      </c>
      <c r="I123" s="3"/>
    </row>
    <row r="124" spans="1:11" ht="22.5" customHeight="1" collapsed="1">
      <c r="A124" s="84"/>
      <c r="B124" s="105" t="s">
        <v>205</v>
      </c>
      <c r="C124" s="84"/>
      <c r="D124" s="86"/>
      <c r="E124" s="86"/>
      <c r="F124" s="86"/>
      <c r="G124" s="86"/>
      <c r="H124" s="106" t="str">
        <f t="shared" si="41"/>
        <v/>
      </c>
      <c r="I124" s="3"/>
    </row>
    <row r="125" spans="1:11" s="15" customFormat="1" ht="22.5" customHeight="1">
      <c r="A125" s="90" t="s">
        <v>21</v>
      </c>
      <c r="B125" s="95" t="s">
        <v>147</v>
      </c>
      <c r="C125" s="90"/>
      <c r="D125" s="108"/>
      <c r="E125" s="108"/>
      <c r="F125" s="108"/>
      <c r="G125" s="108"/>
      <c r="H125" s="94" t="str">
        <f t="shared" si="41"/>
        <v/>
      </c>
      <c r="I125" s="112"/>
    </row>
    <row r="126" spans="1:11" s="88" customFormat="1" ht="22.5" hidden="1" customHeight="1" outlineLevel="1">
      <c r="A126" s="84">
        <v>1</v>
      </c>
      <c r="B126" s="85" t="s">
        <v>148</v>
      </c>
      <c r="C126" s="84" t="s">
        <v>38</v>
      </c>
      <c r="D126" s="130">
        <v>10520</v>
      </c>
      <c r="E126" s="130">
        <f>D127</f>
        <v>10685</v>
      </c>
      <c r="F126" s="130">
        <f>E127</f>
        <v>11120</v>
      </c>
      <c r="G126" s="130"/>
      <c r="H126" s="106">
        <f t="shared" si="41"/>
        <v>0</v>
      </c>
      <c r="I126" s="111"/>
      <c r="K126" s="131"/>
    </row>
    <row r="127" spans="1:11" s="88" customFormat="1" ht="22.5" hidden="1" customHeight="1" outlineLevel="1">
      <c r="A127" s="84">
        <v>2</v>
      </c>
      <c r="B127" s="85" t="s">
        <v>101</v>
      </c>
      <c r="C127" s="84" t="s">
        <v>38</v>
      </c>
      <c r="D127" s="130">
        <v>10685</v>
      </c>
      <c r="E127" s="130">
        <v>11120</v>
      </c>
      <c r="F127" s="130">
        <v>11380</v>
      </c>
      <c r="G127" s="130"/>
      <c r="H127" s="106">
        <f t="shared" si="41"/>
        <v>0</v>
      </c>
      <c r="I127" s="111"/>
      <c r="J127" s="131"/>
    </row>
    <row r="128" spans="1:11" ht="22.5" customHeight="1" collapsed="1">
      <c r="A128" s="1">
        <v>1</v>
      </c>
      <c r="B128" s="17" t="s">
        <v>58</v>
      </c>
      <c r="C128" s="1" t="s">
        <v>45</v>
      </c>
      <c r="D128" s="26">
        <v>44006</v>
      </c>
      <c r="E128" s="26">
        <f>D129</f>
        <v>45290</v>
      </c>
      <c r="F128" s="26">
        <f>E129</f>
        <v>46404</v>
      </c>
      <c r="G128" s="26"/>
      <c r="H128" s="48">
        <f t="shared" si="41"/>
        <v>0</v>
      </c>
      <c r="I128" s="3"/>
    </row>
    <row r="129" spans="1:10" ht="22.5" customHeight="1">
      <c r="A129" s="1">
        <v>2</v>
      </c>
      <c r="B129" s="17" t="s">
        <v>59</v>
      </c>
      <c r="C129" s="1" t="s">
        <v>45</v>
      </c>
      <c r="D129" s="26">
        <v>45290</v>
      </c>
      <c r="E129" s="26">
        <v>46404</v>
      </c>
      <c r="F129" s="26">
        <v>47500</v>
      </c>
      <c r="G129" s="26"/>
      <c r="H129" s="48">
        <f t="shared" si="41"/>
        <v>0</v>
      </c>
      <c r="I129" s="3"/>
    </row>
    <row r="130" spans="1:10" ht="22.5" customHeight="1">
      <c r="A130" s="1">
        <v>3</v>
      </c>
      <c r="B130" s="17" t="s">
        <v>134</v>
      </c>
      <c r="C130" s="1" t="s">
        <v>45</v>
      </c>
      <c r="D130" s="26">
        <f t="shared" ref="D130:F130" si="42">(D128+D129)/2</f>
        <v>44648</v>
      </c>
      <c r="E130" s="26">
        <f t="shared" si="42"/>
        <v>45847</v>
      </c>
      <c r="F130" s="26">
        <f t="shared" si="42"/>
        <v>46952</v>
      </c>
      <c r="G130" s="26"/>
      <c r="H130" s="48">
        <f t="shared" si="41"/>
        <v>0</v>
      </c>
      <c r="I130" s="3"/>
    </row>
    <row r="131" spans="1:10" ht="22.5" customHeight="1">
      <c r="A131" s="1">
        <v>4</v>
      </c>
      <c r="B131" s="38" t="s">
        <v>160</v>
      </c>
      <c r="C131" s="18" t="s">
        <v>70</v>
      </c>
      <c r="D131" s="61">
        <v>22.62</v>
      </c>
      <c r="E131" s="61">
        <v>22.92</v>
      </c>
      <c r="F131" s="61">
        <v>22</v>
      </c>
      <c r="G131" s="61"/>
      <c r="H131" s="53">
        <f t="shared" si="41"/>
        <v>0</v>
      </c>
      <c r="I131" s="3"/>
    </row>
    <row r="132" spans="1:10" s="15" customFormat="1" ht="21" customHeight="1">
      <c r="A132" s="90" t="s">
        <v>22</v>
      </c>
      <c r="B132" s="95" t="s">
        <v>66</v>
      </c>
      <c r="C132" s="90"/>
      <c r="D132" s="113"/>
      <c r="E132" s="113"/>
      <c r="F132" s="113"/>
      <c r="G132" s="113"/>
      <c r="H132" s="94" t="str">
        <f t="shared" si="41"/>
        <v/>
      </c>
      <c r="I132" s="112"/>
    </row>
    <row r="133" spans="1:10" ht="21" customHeight="1">
      <c r="A133" s="1">
        <v>1</v>
      </c>
      <c r="B133" s="17" t="s">
        <v>161</v>
      </c>
      <c r="C133" s="1" t="s">
        <v>16</v>
      </c>
      <c r="D133" s="48">
        <v>42.86</v>
      </c>
      <c r="E133" s="48">
        <v>43</v>
      </c>
      <c r="F133" s="48">
        <v>44</v>
      </c>
      <c r="G133" s="48"/>
      <c r="H133" s="48">
        <f t="shared" si="41"/>
        <v>0</v>
      </c>
      <c r="I133" s="3"/>
    </row>
    <row r="134" spans="1:10" ht="27.75" customHeight="1">
      <c r="A134" s="1"/>
      <c r="B134" s="17" t="s">
        <v>162</v>
      </c>
      <c r="C134" s="1" t="s">
        <v>16</v>
      </c>
      <c r="D134" s="48">
        <v>32</v>
      </c>
      <c r="E134" s="48">
        <v>35</v>
      </c>
      <c r="F134" s="48">
        <v>36</v>
      </c>
      <c r="G134" s="48"/>
      <c r="H134" s="48">
        <f t="shared" si="41"/>
        <v>0</v>
      </c>
      <c r="I134" s="3"/>
    </row>
    <row r="135" spans="1:10" ht="46.8">
      <c r="A135" s="1">
        <v>2</v>
      </c>
      <c r="B135" s="17" t="s">
        <v>152</v>
      </c>
      <c r="C135" s="1" t="s">
        <v>51</v>
      </c>
      <c r="D135" s="49">
        <f>174+50</f>
        <v>224</v>
      </c>
      <c r="E135" s="49">
        <v>175</v>
      </c>
      <c r="F135" s="49">
        <v>250</v>
      </c>
      <c r="G135" s="49"/>
      <c r="H135" s="48">
        <f t="shared" si="41"/>
        <v>0</v>
      </c>
      <c r="I135" s="3"/>
    </row>
    <row r="136" spans="1:10" ht="32.25" customHeight="1">
      <c r="A136" s="1"/>
      <c r="B136" s="17" t="s">
        <v>164</v>
      </c>
      <c r="C136" s="1" t="s">
        <v>165</v>
      </c>
      <c r="D136" s="17">
        <v>111</v>
      </c>
      <c r="E136" s="17">
        <v>115</v>
      </c>
      <c r="F136" s="17">
        <v>120</v>
      </c>
      <c r="G136" s="17"/>
      <c r="H136" s="48">
        <f t="shared" si="41"/>
        <v>0</v>
      </c>
      <c r="I136" s="3"/>
    </row>
    <row r="137" spans="1:10" ht="21" customHeight="1">
      <c r="A137" s="90" t="s">
        <v>263</v>
      </c>
      <c r="B137" s="95" t="s">
        <v>108</v>
      </c>
      <c r="C137" s="114"/>
      <c r="D137" s="115"/>
      <c r="E137" s="115"/>
      <c r="F137" s="115"/>
      <c r="G137" s="115"/>
      <c r="H137" s="94" t="str">
        <f t="shared" si="41"/>
        <v/>
      </c>
      <c r="I137" s="116"/>
    </row>
    <row r="138" spans="1:10" ht="37.5" customHeight="1">
      <c r="A138" s="50">
        <v>1</v>
      </c>
      <c r="B138" s="51" t="s">
        <v>150</v>
      </c>
      <c r="C138" s="1" t="s">
        <v>16</v>
      </c>
      <c r="D138" s="54" t="s">
        <v>153</v>
      </c>
      <c r="E138" s="74">
        <f>D139-E139</f>
        <v>3.1799999999999997</v>
      </c>
      <c r="F138" s="54" t="s">
        <v>156</v>
      </c>
      <c r="G138" s="74"/>
      <c r="H138" s="53" t="str">
        <f t="shared" si="41"/>
        <v/>
      </c>
      <c r="I138" s="3"/>
    </row>
    <row r="139" spans="1:10" ht="25.5" customHeight="1">
      <c r="A139" s="50">
        <v>2</v>
      </c>
      <c r="B139" s="51" t="s">
        <v>163</v>
      </c>
      <c r="C139" s="1" t="s">
        <v>16</v>
      </c>
      <c r="D139" s="66">
        <v>17.32</v>
      </c>
      <c r="E139" s="66">
        <v>14.14</v>
      </c>
      <c r="F139" s="66">
        <f>E139-3</f>
        <v>11.14</v>
      </c>
      <c r="G139" s="66"/>
      <c r="H139" s="48">
        <f t="shared" si="41"/>
        <v>0</v>
      </c>
      <c r="I139" s="3"/>
      <c r="J139" s="75"/>
    </row>
    <row r="140" spans="1:10" s="15" customFormat="1" ht="20.25" customHeight="1">
      <c r="A140" s="90" t="s">
        <v>26</v>
      </c>
      <c r="B140" s="95" t="s">
        <v>0</v>
      </c>
      <c r="C140" s="90"/>
      <c r="D140" s="108"/>
      <c r="E140" s="108"/>
      <c r="F140" s="108"/>
      <c r="G140" s="108"/>
      <c r="H140" s="94" t="str">
        <f t="shared" si="41"/>
        <v/>
      </c>
      <c r="I140" s="112"/>
    </row>
    <row r="141" spans="1:10" s="15" customFormat="1" ht="31.5" customHeight="1">
      <c r="A141" s="8">
        <v>1</v>
      </c>
      <c r="B141" s="12" t="s">
        <v>257</v>
      </c>
      <c r="C141" s="8" t="s">
        <v>1</v>
      </c>
      <c r="D141" s="24">
        <f>SUM(D142:D148)</f>
        <v>13999</v>
      </c>
      <c r="E141" s="24">
        <f>SUM(E142:E148)</f>
        <v>14102</v>
      </c>
      <c r="F141" s="24">
        <f>F142+F146+F147+F148</f>
        <v>14530</v>
      </c>
      <c r="G141" s="24">
        <f>G142+G146+G147+G148</f>
        <v>0</v>
      </c>
      <c r="H141" s="53">
        <f t="shared" si="41"/>
        <v>0</v>
      </c>
      <c r="I141" s="69"/>
    </row>
    <row r="142" spans="1:10" ht="21" customHeight="1">
      <c r="A142" s="1"/>
      <c r="B142" s="17" t="s">
        <v>83</v>
      </c>
      <c r="C142" s="1" t="s">
        <v>1</v>
      </c>
      <c r="D142" s="76">
        <v>4325</v>
      </c>
      <c r="E142" s="76">
        <v>4401</v>
      </c>
      <c r="F142" s="76">
        <f>F143+F145</f>
        <v>4430</v>
      </c>
      <c r="G142" s="76">
        <f>G143+G145</f>
        <v>0</v>
      </c>
      <c r="H142" s="48">
        <f t="shared" si="41"/>
        <v>0</v>
      </c>
      <c r="I142" s="3"/>
      <c r="J142" s="67"/>
    </row>
    <row r="143" spans="1:10" s="34" customFormat="1" ht="21" hidden="1" customHeight="1" outlineLevel="1">
      <c r="A143" s="31"/>
      <c r="B143" s="27" t="s">
        <v>167</v>
      </c>
      <c r="C143" s="1" t="s">
        <v>2</v>
      </c>
      <c r="D143" s="77"/>
      <c r="E143" s="77"/>
      <c r="F143" s="77">
        <v>450</v>
      </c>
      <c r="G143" s="77"/>
      <c r="H143" s="48">
        <f t="shared" si="41"/>
        <v>0</v>
      </c>
      <c r="I143" s="70"/>
      <c r="J143" s="68"/>
    </row>
    <row r="144" spans="1:10" s="34" customFormat="1" ht="21" hidden="1" customHeight="1" outlineLevel="1">
      <c r="A144" s="31"/>
      <c r="B144" s="27" t="s">
        <v>187</v>
      </c>
      <c r="C144" s="1" t="s">
        <v>2</v>
      </c>
      <c r="D144" s="77"/>
      <c r="E144" s="77"/>
      <c r="F144" s="77">
        <v>350</v>
      </c>
      <c r="G144" s="77"/>
      <c r="H144" s="48">
        <f t="shared" si="41"/>
        <v>0</v>
      </c>
      <c r="I144" s="70"/>
      <c r="J144" s="68"/>
    </row>
    <row r="145" spans="1:10" s="34" customFormat="1" ht="21" hidden="1" customHeight="1" outlineLevel="1">
      <c r="A145" s="31"/>
      <c r="B145" s="27" t="s">
        <v>85</v>
      </c>
      <c r="C145" s="1" t="s">
        <v>2</v>
      </c>
      <c r="D145" s="77"/>
      <c r="E145" s="77"/>
      <c r="F145" s="77">
        <v>3980</v>
      </c>
      <c r="G145" s="77"/>
      <c r="H145" s="48">
        <f t="shared" si="41"/>
        <v>0</v>
      </c>
      <c r="I145" s="70"/>
      <c r="J145" s="68"/>
    </row>
    <row r="146" spans="1:10" ht="21" customHeight="1" collapsed="1">
      <c r="A146" s="1"/>
      <c r="B146" s="17" t="s">
        <v>104</v>
      </c>
      <c r="C146" s="1" t="s">
        <v>1</v>
      </c>
      <c r="D146" s="76">
        <v>5412</v>
      </c>
      <c r="E146" s="76">
        <v>5400</v>
      </c>
      <c r="F146" s="76">
        <v>5700</v>
      </c>
      <c r="G146" s="76"/>
      <c r="H146" s="48">
        <f t="shared" si="41"/>
        <v>0</v>
      </c>
      <c r="I146" s="3"/>
      <c r="J146" s="67"/>
    </row>
    <row r="147" spans="1:10" ht="21" customHeight="1">
      <c r="A147" s="1"/>
      <c r="B147" s="17" t="s">
        <v>105</v>
      </c>
      <c r="C147" s="1" t="s">
        <v>1</v>
      </c>
      <c r="D147" s="76">
        <v>3521</v>
      </c>
      <c r="E147" s="76">
        <v>3560</v>
      </c>
      <c r="F147" s="76">
        <v>3570</v>
      </c>
      <c r="G147" s="76"/>
      <c r="H147" s="48">
        <f t="shared" si="41"/>
        <v>0</v>
      </c>
      <c r="I147" s="3"/>
    </row>
    <row r="148" spans="1:10" ht="21" customHeight="1">
      <c r="A148" s="1"/>
      <c r="B148" s="17" t="s">
        <v>137</v>
      </c>
      <c r="C148" s="1" t="s">
        <v>1</v>
      </c>
      <c r="D148" s="76">
        <v>741</v>
      </c>
      <c r="E148" s="76">
        <v>741</v>
      </c>
      <c r="F148" s="76">
        <v>830</v>
      </c>
      <c r="G148" s="76"/>
      <c r="H148" s="48">
        <f t="shared" si="41"/>
        <v>0</v>
      </c>
      <c r="I148" s="3"/>
    </row>
    <row r="149" spans="1:10" s="15" customFormat="1" ht="21" customHeight="1">
      <c r="A149" s="8">
        <v>2</v>
      </c>
      <c r="B149" s="12" t="s">
        <v>188</v>
      </c>
      <c r="C149" s="8"/>
      <c r="D149" s="146"/>
      <c r="E149" s="146"/>
      <c r="F149" s="146"/>
      <c r="G149" s="146"/>
      <c r="H149" s="53"/>
      <c r="I149" s="69"/>
    </row>
    <row r="150" spans="1:10" ht="21" customHeight="1">
      <c r="A150" s="1"/>
      <c r="B150" s="29" t="s">
        <v>36</v>
      </c>
      <c r="C150" s="1" t="s">
        <v>1</v>
      </c>
      <c r="D150" s="76"/>
      <c r="E150" s="76"/>
      <c r="F150" s="76">
        <v>60</v>
      </c>
      <c r="G150" s="76"/>
      <c r="H150" s="48">
        <f t="shared" ref="H150:H191" si="43">IFERROR(G150/F150%,"")</f>
        <v>0</v>
      </c>
      <c r="I150" s="3"/>
    </row>
    <row r="151" spans="1:10" ht="21" customHeight="1">
      <c r="A151" s="1"/>
      <c r="B151" s="29" t="s">
        <v>35</v>
      </c>
      <c r="C151" s="1" t="s">
        <v>1</v>
      </c>
      <c r="D151" s="76"/>
      <c r="E151" s="76"/>
      <c r="F151" s="76">
        <v>60</v>
      </c>
      <c r="G151" s="76"/>
      <c r="H151" s="48">
        <f t="shared" si="43"/>
        <v>0</v>
      </c>
      <c r="I151" s="3"/>
    </row>
    <row r="152" spans="1:10" s="139" customFormat="1" ht="22.5" hidden="1" customHeight="1" outlineLevel="1">
      <c r="A152" s="135">
        <v>3</v>
      </c>
      <c r="B152" s="136" t="s">
        <v>166</v>
      </c>
      <c r="C152" s="135"/>
      <c r="D152" s="137">
        <f t="shared" ref="D152:F152" si="44">SUM(D154:D158)</f>
        <v>37</v>
      </c>
      <c r="E152" s="137">
        <f t="shared" si="44"/>
        <v>38</v>
      </c>
      <c r="F152" s="137">
        <f t="shared" si="44"/>
        <v>38</v>
      </c>
      <c r="G152" s="137">
        <f t="shared" ref="G152" si="45">SUM(G154:G158)</f>
        <v>38</v>
      </c>
      <c r="H152" s="106">
        <f t="shared" si="43"/>
        <v>100</v>
      </c>
      <c r="I152" s="138"/>
    </row>
    <row r="153" spans="1:10" s="88" customFormat="1" ht="22.5" hidden="1" customHeight="1" outlineLevel="1">
      <c r="A153" s="84"/>
      <c r="B153" s="89" t="s">
        <v>136</v>
      </c>
      <c r="C153" s="84"/>
      <c r="D153" s="86"/>
      <c r="E153" s="86"/>
      <c r="F153" s="86"/>
      <c r="G153" s="86"/>
      <c r="H153" s="87" t="str">
        <f t="shared" si="43"/>
        <v/>
      </c>
      <c r="I153" s="111"/>
    </row>
    <row r="154" spans="1:10" s="88" customFormat="1" ht="22.5" hidden="1" customHeight="1" outlineLevel="1">
      <c r="A154" s="84"/>
      <c r="B154" s="85" t="s">
        <v>138</v>
      </c>
      <c r="C154" s="84" t="s">
        <v>62</v>
      </c>
      <c r="D154" s="86">
        <v>13</v>
      </c>
      <c r="E154" s="86">
        <v>13</v>
      </c>
      <c r="F154" s="86">
        <f>E154</f>
        <v>13</v>
      </c>
      <c r="G154" s="86">
        <f>E154</f>
        <v>13</v>
      </c>
      <c r="H154" s="87">
        <f t="shared" si="43"/>
        <v>100</v>
      </c>
      <c r="I154" s="111"/>
    </row>
    <row r="155" spans="1:10" s="88" customFormat="1" ht="22.5" hidden="1" customHeight="1" outlineLevel="1">
      <c r="A155" s="84"/>
      <c r="B155" s="85" t="s">
        <v>139</v>
      </c>
      <c r="C155" s="84" t="s">
        <v>62</v>
      </c>
      <c r="D155" s="86">
        <v>13</v>
      </c>
      <c r="E155" s="86">
        <v>14</v>
      </c>
      <c r="F155" s="86">
        <f>E155</f>
        <v>14</v>
      </c>
      <c r="G155" s="86">
        <f>E155</f>
        <v>14</v>
      </c>
      <c r="H155" s="87">
        <f t="shared" si="43"/>
        <v>99.999999999999986</v>
      </c>
      <c r="I155" s="111"/>
    </row>
    <row r="156" spans="1:10" s="88" customFormat="1" ht="22.5" hidden="1" customHeight="1" outlineLevel="1">
      <c r="A156" s="84"/>
      <c r="B156" s="85" t="s">
        <v>140</v>
      </c>
      <c r="C156" s="84" t="s">
        <v>62</v>
      </c>
      <c r="D156" s="86">
        <v>9</v>
      </c>
      <c r="E156" s="86">
        <v>9</v>
      </c>
      <c r="F156" s="86">
        <f>E156</f>
        <v>9</v>
      </c>
      <c r="G156" s="86">
        <f>E156</f>
        <v>9</v>
      </c>
      <c r="H156" s="87">
        <f t="shared" si="43"/>
        <v>100</v>
      </c>
      <c r="I156" s="111"/>
    </row>
    <row r="157" spans="1:10" s="88" customFormat="1" ht="22.5" hidden="1" customHeight="1" outlineLevel="1">
      <c r="A157" s="84"/>
      <c r="B157" s="85" t="s">
        <v>141</v>
      </c>
      <c r="C157" s="84" t="s">
        <v>62</v>
      </c>
      <c r="D157" s="86">
        <v>1</v>
      </c>
      <c r="E157" s="86">
        <v>1</v>
      </c>
      <c r="F157" s="86">
        <f>E157</f>
        <v>1</v>
      </c>
      <c r="G157" s="86">
        <f>E157</f>
        <v>1</v>
      </c>
      <c r="H157" s="87">
        <f t="shared" si="43"/>
        <v>100</v>
      </c>
      <c r="I157" s="111"/>
    </row>
    <row r="158" spans="1:10" s="88" customFormat="1" ht="22.5" hidden="1" customHeight="1" outlineLevel="1">
      <c r="A158" s="84"/>
      <c r="B158" s="85" t="s">
        <v>142</v>
      </c>
      <c r="C158" s="84" t="s">
        <v>62</v>
      </c>
      <c r="D158" s="86">
        <v>1</v>
      </c>
      <c r="E158" s="86">
        <v>1</v>
      </c>
      <c r="F158" s="86">
        <f>E158</f>
        <v>1</v>
      </c>
      <c r="G158" s="86">
        <f>E158</f>
        <v>1</v>
      </c>
      <c r="H158" s="87">
        <f t="shared" si="43"/>
        <v>100</v>
      </c>
      <c r="I158" s="111"/>
    </row>
    <row r="159" spans="1:10" s="139" customFormat="1" ht="22.5" hidden="1" customHeight="1" outlineLevel="1">
      <c r="A159" s="135">
        <v>4</v>
      </c>
      <c r="B159" s="136" t="s">
        <v>143</v>
      </c>
      <c r="C159" s="135" t="s">
        <v>62</v>
      </c>
      <c r="D159" s="137">
        <f t="shared" ref="D159:G159" si="46">SUM(D161:D165)</f>
        <v>20</v>
      </c>
      <c r="E159" s="137">
        <f t="shared" si="46"/>
        <v>22</v>
      </c>
      <c r="F159" s="137">
        <f t="shared" si="46"/>
        <v>25</v>
      </c>
      <c r="G159" s="137">
        <f t="shared" si="46"/>
        <v>0</v>
      </c>
      <c r="H159" s="106">
        <f t="shared" si="43"/>
        <v>0</v>
      </c>
      <c r="I159" s="138"/>
    </row>
    <row r="160" spans="1:10" s="88" customFormat="1" ht="22.5" hidden="1" customHeight="1" outlineLevel="1">
      <c r="A160" s="84"/>
      <c r="B160" s="89" t="s">
        <v>136</v>
      </c>
      <c r="C160" s="84"/>
      <c r="D160" s="86"/>
      <c r="E160" s="86"/>
      <c r="F160" s="86"/>
      <c r="G160" s="86"/>
      <c r="H160" s="87" t="str">
        <f t="shared" si="43"/>
        <v/>
      </c>
      <c r="I160" s="111"/>
    </row>
    <row r="161" spans="1:9" s="88" customFormat="1" ht="22.5" hidden="1" customHeight="1" outlineLevel="1">
      <c r="A161" s="84"/>
      <c r="B161" s="85" t="s">
        <v>138</v>
      </c>
      <c r="C161" s="84" t="s">
        <v>62</v>
      </c>
      <c r="D161" s="86">
        <v>5</v>
      </c>
      <c r="E161" s="86">
        <v>7</v>
      </c>
      <c r="F161" s="86">
        <v>8</v>
      </c>
      <c r="G161" s="86"/>
      <c r="H161" s="87">
        <f t="shared" si="43"/>
        <v>0</v>
      </c>
      <c r="I161" s="111"/>
    </row>
    <row r="162" spans="1:9" s="88" customFormat="1" ht="22.5" hidden="1" customHeight="1" outlineLevel="1">
      <c r="A162" s="84"/>
      <c r="B162" s="85" t="s">
        <v>139</v>
      </c>
      <c r="C162" s="84" t="s">
        <v>62</v>
      </c>
      <c r="D162" s="86">
        <v>9</v>
      </c>
      <c r="E162" s="86">
        <v>9</v>
      </c>
      <c r="F162" s="86">
        <v>10</v>
      </c>
      <c r="G162" s="86"/>
      <c r="H162" s="87">
        <f t="shared" si="43"/>
        <v>0</v>
      </c>
      <c r="I162" s="111"/>
    </row>
    <row r="163" spans="1:9" s="88" customFormat="1" ht="22.5" hidden="1" customHeight="1" outlineLevel="1">
      <c r="A163" s="84"/>
      <c r="B163" s="85" t="s">
        <v>140</v>
      </c>
      <c r="C163" s="84" t="s">
        <v>62</v>
      </c>
      <c r="D163" s="86">
        <v>4</v>
      </c>
      <c r="E163" s="86">
        <v>4</v>
      </c>
      <c r="F163" s="86">
        <v>5</v>
      </c>
      <c r="G163" s="86"/>
      <c r="H163" s="87">
        <f t="shared" si="43"/>
        <v>0</v>
      </c>
      <c r="I163" s="111"/>
    </row>
    <row r="164" spans="1:9" s="88" customFormat="1" ht="22.5" hidden="1" customHeight="1" outlineLevel="1">
      <c r="A164" s="84"/>
      <c r="B164" s="85" t="s">
        <v>141</v>
      </c>
      <c r="C164" s="84" t="s">
        <v>62</v>
      </c>
      <c r="D164" s="86">
        <v>1</v>
      </c>
      <c r="E164" s="86">
        <v>1</v>
      </c>
      <c r="F164" s="86">
        <v>1</v>
      </c>
      <c r="G164" s="86"/>
      <c r="H164" s="87">
        <f t="shared" si="43"/>
        <v>0</v>
      </c>
      <c r="I164" s="111"/>
    </row>
    <row r="165" spans="1:9" s="88" customFormat="1" ht="22.5" hidden="1" customHeight="1" outlineLevel="1">
      <c r="A165" s="84"/>
      <c r="B165" s="85" t="s">
        <v>142</v>
      </c>
      <c r="C165" s="84" t="s">
        <v>62</v>
      </c>
      <c r="D165" s="86">
        <v>1</v>
      </c>
      <c r="E165" s="86">
        <v>1</v>
      </c>
      <c r="F165" s="86">
        <v>1</v>
      </c>
      <c r="G165" s="86"/>
      <c r="H165" s="87">
        <f t="shared" si="43"/>
        <v>0</v>
      </c>
      <c r="I165" s="111"/>
    </row>
    <row r="166" spans="1:9" s="15" customFormat="1" ht="22.5" customHeight="1" collapsed="1">
      <c r="A166" s="8">
        <v>3</v>
      </c>
      <c r="B166" s="12" t="s">
        <v>63</v>
      </c>
      <c r="C166" s="8" t="s">
        <v>16</v>
      </c>
      <c r="D166" s="140">
        <f t="shared" ref="D166:G166" si="47">D159/D152%</f>
        <v>54.054054054054056</v>
      </c>
      <c r="E166" s="140">
        <f t="shared" si="47"/>
        <v>57.89473684210526</v>
      </c>
      <c r="F166" s="140">
        <f t="shared" si="47"/>
        <v>65.78947368421052</v>
      </c>
      <c r="G166" s="140">
        <f t="shared" si="47"/>
        <v>0</v>
      </c>
      <c r="H166" s="53">
        <f t="shared" si="43"/>
        <v>0</v>
      </c>
      <c r="I166" s="69"/>
    </row>
    <row r="167" spans="1:9" ht="22.5" hidden="1" customHeight="1" outlineLevel="1">
      <c r="A167" s="1"/>
      <c r="B167" s="27" t="s">
        <v>136</v>
      </c>
      <c r="C167" s="1"/>
      <c r="D167" s="45"/>
      <c r="E167" s="45"/>
      <c r="F167" s="45"/>
      <c r="G167" s="45"/>
      <c r="H167" s="53" t="str">
        <f t="shared" si="43"/>
        <v/>
      </c>
      <c r="I167" s="3"/>
    </row>
    <row r="168" spans="1:9" ht="22.5" hidden="1" customHeight="1" outlineLevel="1">
      <c r="A168" s="1"/>
      <c r="B168" s="17" t="s">
        <v>138</v>
      </c>
      <c r="C168" s="1" t="s">
        <v>16</v>
      </c>
      <c r="D168" s="45">
        <f t="shared" ref="D168:G172" si="48">D161/D154%</f>
        <v>38.46153846153846</v>
      </c>
      <c r="E168" s="45">
        <f t="shared" si="48"/>
        <v>53.846153846153847</v>
      </c>
      <c r="F168" s="45">
        <f t="shared" si="48"/>
        <v>61.538461538461533</v>
      </c>
      <c r="G168" s="45">
        <f t="shared" si="48"/>
        <v>0</v>
      </c>
      <c r="H168" s="48">
        <f t="shared" si="43"/>
        <v>0</v>
      </c>
      <c r="I168" s="3"/>
    </row>
    <row r="169" spans="1:9" ht="22.5" hidden="1" customHeight="1" outlineLevel="1">
      <c r="A169" s="1"/>
      <c r="B169" s="17" t="s">
        <v>139</v>
      </c>
      <c r="C169" s="1" t="s">
        <v>16</v>
      </c>
      <c r="D169" s="45">
        <f t="shared" si="48"/>
        <v>69.230769230769226</v>
      </c>
      <c r="E169" s="45">
        <f t="shared" si="48"/>
        <v>64.285714285714278</v>
      </c>
      <c r="F169" s="45">
        <f t="shared" si="48"/>
        <v>71.428571428571416</v>
      </c>
      <c r="G169" s="45">
        <f t="shared" si="48"/>
        <v>0</v>
      </c>
      <c r="H169" s="48">
        <f t="shared" si="43"/>
        <v>0</v>
      </c>
      <c r="I169" s="3"/>
    </row>
    <row r="170" spans="1:9" ht="22.5" hidden="1" customHeight="1" outlineLevel="1">
      <c r="A170" s="1"/>
      <c r="B170" s="17" t="s">
        <v>140</v>
      </c>
      <c r="C170" s="1" t="s">
        <v>16</v>
      </c>
      <c r="D170" s="45">
        <f t="shared" si="48"/>
        <v>44.444444444444443</v>
      </c>
      <c r="E170" s="45">
        <f t="shared" si="48"/>
        <v>44.444444444444443</v>
      </c>
      <c r="F170" s="45">
        <f t="shared" si="48"/>
        <v>55.555555555555557</v>
      </c>
      <c r="G170" s="45">
        <f t="shared" si="48"/>
        <v>0</v>
      </c>
      <c r="H170" s="48">
        <f t="shared" si="43"/>
        <v>0</v>
      </c>
      <c r="I170" s="3"/>
    </row>
    <row r="171" spans="1:9" ht="22.5" hidden="1" customHeight="1" outlineLevel="1">
      <c r="A171" s="1"/>
      <c r="B171" s="17" t="s">
        <v>141</v>
      </c>
      <c r="C171" s="1" t="s">
        <v>16</v>
      </c>
      <c r="D171" s="45">
        <f t="shared" si="48"/>
        <v>100</v>
      </c>
      <c r="E171" s="45">
        <f t="shared" si="48"/>
        <v>100</v>
      </c>
      <c r="F171" s="45">
        <f t="shared" si="48"/>
        <v>100</v>
      </c>
      <c r="G171" s="45">
        <f t="shared" si="48"/>
        <v>0</v>
      </c>
      <c r="H171" s="48">
        <f t="shared" si="43"/>
        <v>0</v>
      </c>
      <c r="I171" s="3"/>
    </row>
    <row r="172" spans="1:9" ht="22.5" hidden="1" customHeight="1" outlineLevel="1">
      <c r="A172" s="1"/>
      <c r="B172" s="17" t="s">
        <v>142</v>
      </c>
      <c r="C172" s="1" t="s">
        <v>16</v>
      </c>
      <c r="D172" s="45">
        <f t="shared" si="48"/>
        <v>100</v>
      </c>
      <c r="E172" s="45">
        <f t="shared" si="48"/>
        <v>100</v>
      </c>
      <c r="F172" s="45">
        <f t="shared" si="48"/>
        <v>100</v>
      </c>
      <c r="G172" s="45">
        <f t="shared" si="48"/>
        <v>0</v>
      </c>
      <c r="H172" s="48">
        <f t="shared" si="43"/>
        <v>0</v>
      </c>
      <c r="I172" s="3"/>
    </row>
    <row r="173" spans="1:9" ht="22.5" customHeight="1" collapsed="1">
      <c r="A173" s="90" t="s">
        <v>29</v>
      </c>
      <c r="B173" s="95" t="s">
        <v>145</v>
      </c>
      <c r="C173" s="114"/>
      <c r="D173" s="117"/>
      <c r="E173" s="117"/>
      <c r="F173" s="117"/>
      <c r="G173" s="117"/>
      <c r="H173" s="94" t="str">
        <f t="shared" si="43"/>
        <v/>
      </c>
      <c r="I173" s="116"/>
    </row>
    <row r="174" spans="1:9" ht="22.5" customHeight="1">
      <c r="A174" s="1">
        <v>1</v>
      </c>
      <c r="B174" s="17" t="s">
        <v>146</v>
      </c>
      <c r="C174" s="1" t="s">
        <v>64</v>
      </c>
      <c r="D174" s="10">
        <v>130</v>
      </c>
      <c r="E174" s="10">
        <v>130</v>
      </c>
      <c r="F174" s="10">
        <v>135</v>
      </c>
      <c r="G174" s="10">
        <v>130</v>
      </c>
      <c r="H174" s="48">
        <f t="shared" si="43"/>
        <v>96.296296296296291</v>
      </c>
      <c r="I174" s="3"/>
    </row>
    <row r="175" spans="1:9" ht="24" customHeight="1">
      <c r="A175" s="1">
        <v>2</v>
      </c>
      <c r="B175" s="17" t="s">
        <v>202</v>
      </c>
      <c r="C175" s="1" t="s">
        <v>144</v>
      </c>
      <c r="D175" s="10">
        <v>2</v>
      </c>
      <c r="E175" s="10">
        <v>6</v>
      </c>
      <c r="F175" s="10">
        <v>7</v>
      </c>
      <c r="G175" s="10">
        <v>4</v>
      </c>
      <c r="H175" s="48">
        <f t="shared" si="43"/>
        <v>57.142857142857139</v>
      </c>
      <c r="I175" s="3"/>
    </row>
    <row r="176" spans="1:9" ht="25.5" customHeight="1">
      <c r="A176" s="1"/>
      <c r="B176" s="37" t="s">
        <v>203</v>
      </c>
      <c r="C176" s="1" t="s">
        <v>16</v>
      </c>
      <c r="D176" s="45">
        <f t="shared" ref="D176:G176" si="49">D175/9%</f>
        <v>22.222222222222221</v>
      </c>
      <c r="E176" s="45">
        <f t="shared" si="49"/>
        <v>66.666666666666671</v>
      </c>
      <c r="F176" s="45">
        <f t="shared" si="49"/>
        <v>77.777777777777786</v>
      </c>
      <c r="G176" s="45">
        <f t="shared" si="49"/>
        <v>44.444444444444443</v>
      </c>
      <c r="H176" s="48">
        <f t="shared" si="43"/>
        <v>57.142857142857132</v>
      </c>
      <c r="I176" s="3"/>
    </row>
    <row r="177" spans="1:9" ht="21.75" customHeight="1">
      <c r="A177" s="1">
        <v>3</v>
      </c>
      <c r="B177" s="29" t="s">
        <v>82</v>
      </c>
      <c r="C177" s="1" t="s">
        <v>16</v>
      </c>
      <c r="D177" s="45">
        <v>83.5</v>
      </c>
      <c r="E177" s="45">
        <v>87</v>
      </c>
      <c r="F177" s="45">
        <v>90</v>
      </c>
      <c r="G177" s="45"/>
      <c r="H177" s="53">
        <f t="shared" si="43"/>
        <v>0</v>
      </c>
      <c r="I177" s="3"/>
    </row>
    <row r="178" spans="1:9" ht="31.2">
      <c r="A178" s="1">
        <v>4</v>
      </c>
      <c r="B178" s="29" t="s">
        <v>180</v>
      </c>
      <c r="C178" s="1" t="s">
        <v>16</v>
      </c>
      <c r="D178" s="61">
        <v>33.1</v>
      </c>
      <c r="E178" s="45">
        <v>31.8</v>
      </c>
      <c r="F178" s="45">
        <v>31.3</v>
      </c>
      <c r="G178" s="45"/>
      <c r="H178" s="53">
        <f t="shared" si="43"/>
        <v>0</v>
      </c>
      <c r="I178" s="3"/>
    </row>
    <row r="179" spans="1:9" ht="31.2">
      <c r="A179" s="1">
        <v>5</v>
      </c>
      <c r="B179" s="29" t="s">
        <v>181</v>
      </c>
      <c r="C179" s="1" t="s">
        <v>16</v>
      </c>
      <c r="D179" s="61">
        <v>20.6</v>
      </c>
      <c r="E179" s="45">
        <v>20</v>
      </c>
      <c r="F179" s="45">
        <v>19.5</v>
      </c>
      <c r="G179" s="45"/>
      <c r="H179" s="53">
        <f t="shared" si="43"/>
        <v>0</v>
      </c>
      <c r="I179" s="3"/>
    </row>
    <row r="180" spans="1:9" ht="31.2">
      <c r="A180" s="90" t="s">
        <v>39</v>
      </c>
      <c r="B180" s="91" t="s">
        <v>86</v>
      </c>
      <c r="C180" s="92"/>
      <c r="D180" s="117"/>
      <c r="E180" s="117"/>
      <c r="F180" s="117"/>
      <c r="G180" s="117"/>
      <c r="H180" s="94" t="str">
        <f t="shared" si="43"/>
        <v/>
      </c>
      <c r="I180" s="116"/>
    </row>
    <row r="181" spans="1:9" ht="22.5" customHeight="1">
      <c r="A181" s="8">
        <v>1</v>
      </c>
      <c r="B181" s="44" t="s">
        <v>87</v>
      </c>
      <c r="C181" s="9"/>
      <c r="D181" s="10"/>
      <c r="E181" s="10"/>
      <c r="F181" s="10"/>
      <c r="G181" s="10"/>
      <c r="H181" s="53" t="str">
        <f t="shared" si="43"/>
        <v/>
      </c>
      <c r="I181" s="3"/>
    </row>
    <row r="182" spans="1:9" ht="22.5" customHeight="1">
      <c r="A182" s="16"/>
      <c r="B182" s="38" t="s">
        <v>88</v>
      </c>
      <c r="C182" s="18" t="s">
        <v>3</v>
      </c>
      <c r="D182" s="49">
        <v>1560</v>
      </c>
      <c r="E182" s="49">
        <v>1560</v>
      </c>
      <c r="F182" s="49">
        <f>E182</f>
        <v>1560</v>
      </c>
      <c r="G182" s="49"/>
      <c r="H182" s="48">
        <f t="shared" si="43"/>
        <v>0</v>
      </c>
      <c r="I182" s="3"/>
    </row>
    <row r="183" spans="1:9" ht="22.5" customHeight="1">
      <c r="A183" s="16"/>
      <c r="B183" s="38" t="s">
        <v>89</v>
      </c>
      <c r="C183" s="18" t="s">
        <v>3</v>
      </c>
      <c r="D183" s="49">
        <v>21800</v>
      </c>
      <c r="E183" s="49">
        <v>21800</v>
      </c>
      <c r="F183" s="49">
        <f>E183</f>
        <v>21800</v>
      </c>
      <c r="G183" s="49"/>
      <c r="H183" s="48">
        <f t="shared" si="43"/>
        <v>0</v>
      </c>
      <c r="I183" s="3"/>
    </row>
    <row r="184" spans="1:9" ht="22.5" hidden="1" customHeight="1" outlineLevel="1">
      <c r="A184" s="8">
        <v>2</v>
      </c>
      <c r="B184" s="44" t="s">
        <v>90</v>
      </c>
      <c r="C184" s="18"/>
      <c r="D184" s="49"/>
      <c r="E184" s="49"/>
      <c r="F184" s="49"/>
      <c r="G184" s="49"/>
      <c r="H184" s="53" t="str">
        <f t="shared" si="43"/>
        <v/>
      </c>
      <c r="I184" s="3"/>
    </row>
    <row r="185" spans="1:9" ht="22.5" hidden="1" customHeight="1" outlineLevel="1">
      <c r="A185" s="1"/>
      <c r="B185" s="38" t="s">
        <v>92</v>
      </c>
      <c r="C185" s="18" t="s">
        <v>93</v>
      </c>
      <c r="D185" s="49">
        <v>9233</v>
      </c>
      <c r="E185" s="49">
        <v>10000</v>
      </c>
      <c r="F185" s="49">
        <v>10250</v>
      </c>
      <c r="G185" s="49"/>
      <c r="H185" s="53">
        <f t="shared" si="43"/>
        <v>0</v>
      </c>
      <c r="I185" s="3"/>
    </row>
    <row r="186" spans="1:9" ht="22.5" hidden="1" customHeight="1" outlineLevel="1">
      <c r="A186" s="1" t="s">
        <v>91</v>
      </c>
      <c r="B186" s="38" t="s">
        <v>94</v>
      </c>
      <c r="C186" s="33" t="s">
        <v>16</v>
      </c>
      <c r="D186" s="49">
        <v>85.6</v>
      </c>
      <c r="E186" s="49">
        <f>E185/E127%</f>
        <v>89.928057553956833</v>
      </c>
      <c r="F186" s="49">
        <f>F185/F127%</f>
        <v>90.070298769771526</v>
      </c>
      <c r="G186" s="49"/>
      <c r="H186" s="48">
        <f t="shared" si="43"/>
        <v>0</v>
      </c>
      <c r="I186" s="3"/>
    </row>
    <row r="187" spans="1:9" ht="22.5" hidden="1" customHeight="1" outlineLevel="1">
      <c r="A187" s="1"/>
      <c r="B187" s="38" t="s">
        <v>96</v>
      </c>
      <c r="C187" s="18" t="s">
        <v>97</v>
      </c>
      <c r="D187" s="5">
        <v>58</v>
      </c>
      <c r="E187" s="5">
        <v>61</v>
      </c>
      <c r="F187" s="5">
        <v>61</v>
      </c>
      <c r="G187" s="5"/>
      <c r="H187" s="48">
        <f t="shared" si="43"/>
        <v>0</v>
      </c>
      <c r="I187" s="3"/>
    </row>
    <row r="188" spans="1:9" ht="22.5" hidden="1" customHeight="1" outlineLevel="1">
      <c r="A188" s="1" t="s">
        <v>95</v>
      </c>
      <c r="B188" s="38" t="s">
        <v>71</v>
      </c>
      <c r="C188" s="33" t="s">
        <v>16</v>
      </c>
      <c r="D188" s="49">
        <f>D187/67%</f>
        <v>86.567164179104466</v>
      </c>
      <c r="E188" s="49">
        <f>E187/67%</f>
        <v>91.044776119402982</v>
      </c>
      <c r="F188" s="49">
        <f>F187/67%</f>
        <v>91.044776119402982</v>
      </c>
      <c r="G188" s="49"/>
      <c r="H188" s="48">
        <f t="shared" si="43"/>
        <v>0</v>
      </c>
      <c r="I188" s="3"/>
    </row>
    <row r="189" spans="1:9" ht="22.5" hidden="1" customHeight="1" outlineLevel="1">
      <c r="A189" s="1" t="s">
        <v>98</v>
      </c>
      <c r="B189" s="38" t="s">
        <v>99</v>
      </c>
      <c r="C189" s="18" t="s">
        <v>100</v>
      </c>
      <c r="D189" s="49">
        <v>88</v>
      </c>
      <c r="E189" s="49">
        <v>90</v>
      </c>
      <c r="F189" s="49">
        <v>90</v>
      </c>
      <c r="G189" s="49"/>
      <c r="H189" s="48">
        <f t="shared" si="43"/>
        <v>0</v>
      </c>
      <c r="I189" s="3"/>
    </row>
    <row r="190" spans="1:9" ht="22.5" hidden="1" customHeight="1" outlineLevel="1">
      <c r="A190" s="1" t="s">
        <v>149</v>
      </c>
      <c r="B190" s="17" t="s">
        <v>151</v>
      </c>
      <c r="C190" s="1" t="s">
        <v>37</v>
      </c>
      <c r="D190" s="49">
        <v>4</v>
      </c>
      <c r="E190" s="49">
        <v>4</v>
      </c>
      <c r="F190" s="49">
        <v>4</v>
      </c>
      <c r="G190" s="49">
        <v>4</v>
      </c>
      <c r="H190" s="48">
        <f t="shared" si="43"/>
        <v>100</v>
      </c>
      <c r="I190" s="3"/>
    </row>
    <row r="191" spans="1:9" ht="36.75" hidden="1" customHeight="1" outlineLevel="1">
      <c r="A191" s="84"/>
      <c r="B191" s="105" t="s">
        <v>253</v>
      </c>
      <c r="C191" s="84"/>
      <c r="D191" s="86"/>
      <c r="E191" s="86"/>
      <c r="F191" s="86"/>
      <c r="G191" s="86"/>
      <c r="H191" s="106" t="str">
        <f t="shared" si="43"/>
        <v/>
      </c>
      <c r="I191" s="3"/>
    </row>
    <row r="192" spans="1:9" ht="23.25" hidden="1" customHeight="1" outlineLevel="1">
      <c r="A192" s="1">
        <v>1</v>
      </c>
      <c r="B192" s="17" t="s">
        <v>110</v>
      </c>
      <c r="C192" s="1" t="s">
        <v>16</v>
      </c>
      <c r="D192" s="17"/>
      <c r="E192" s="17"/>
      <c r="F192" s="17">
        <v>100</v>
      </c>
      <c r="G192" s="17"/>
      <c r="H192" s="17"/>
      <c r="I192" s="17"/>
    </row>
    <row r="193" spans="1:9" ht="15" customHeight="1" collapsed="1">
      <c r="A193" s="81"/>
      <c r="B193" s="82"/>
      <c r="C193" s="81"/>
      <c r="D193" s="82"/>
      <c r="E193" s="82"/>
      <c r="F193" s="82"/>
      <c r="G193" s="82"/>
      <c r="H193" s="82"/>
      <c r="I193" s="82"/>
    </row>
    <row r="194" spans="1:9">
      <c r="A194" s="78"/>
      <c r="B194" s="46"/>
      <c r="C194" s="78"/>
      <c r="D194" s="46"/>
      <c r="E194" s="46"/>
      <c r="F194" s="46"/>
      <c r="G194" s="46"/>
      <c r="H194" s="46"/>
      <c r="I194" s="46"/>
    </row>
    <row r="195" spans="1:9">
      <c r="A195" s="78"/>
      <c r="B195" s="46"/>
      <c r="C195" s="78"/>
      <c r="D195" s="46"/>
      <c r="E195" s="46"/>
      <c r="F195" s="46"/>
      <c r="G195" s="46"/>
      <c r="H195" s="46"/>
      <c r="I195" s="46"/>
    </row>
  </sheetData>
  <mergeCells count="12">
    <mergeCell ref="H5:H6"/>
    <mergeCell ref="I5:I6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</mergeCells>
  <pageMargins left="0.47244094488188981" right="0.39370078740157483" top="0.59055118110236227" bottom="0.47244094488188981" header="0.31496062992125984" footer="0.31496062992125984"/>
  <pageSetup paperSize="9" scale="87" fitToHeight="0" orientation="portrait" r:id="rId1"/>
  <headerFooter>
    <oddFooter>&amp;R&amp;"Times New Roman,Regular"&amp;P/&amp;N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F0"/>
    <pageSetUpPr fitToPage="1"/>
  </sheetPr>
  <dimension ref="A1:K200"/>
  <sheetViews>
    <sheetView zoomScale="85" zoomScaleNormal="85" zoomScaleSheetLayoutView="100" workbookViewId="0">
      <pane xSplit="2" ySplit="7" topLeftCell="C32" activePane="bottomRight" state="frozen"/>
      <selection activeCell="G25" sqref="G25"/>
      <selection pane="topRight" activeCell="G25" sqref="G25"/>
      <selection pane="bottomLeft" activeCell="G25" sqref="G25"/>
      <selection pane="bottomRight" activeCell="G25" sqref="G25"/>
    </sheetView>
  </sheetViews>
  <sheetFormatPr defaultColWidth="9.109375" defaultRowHeight="15.6" outlineLevelRow="1" outlineLevelCol="1"/>
  <cols>
    <col min="1" max="1" width="5.5546875" style="6" customWidth="1"/>
    <col min="2" max="2" width="41.6640625" style="2" customWidth="1"/>
    <col min="3" max="3" width="12.5546875" style="6" customWidth="1"/>
    <col min="4" max="5" width="12.109375" style="2" hidden="1" customWidth="1" outlineLevel="1"/>
    <col min="6" max="6" width="12.44140625" style="2" customWidth="1" collapsed="1"/>
    <col min="7" max="9" width="12.44140625" style="2" customWidth="1"/>
    <col min="10" max="10" width="12.6640625" style="2" customWidth="1"/>
    <col min="11" max="11" width="11.88671875" style="2" bestFit="1" customWidth="1"/>
    <col min="12" max="16384" width="9.109375" style="2"/>
  </cols>
  <sheetData>
    <row r="1" spans="1:11" ht="17.399999999999999" hidden="1" outlineLevel="1">
      <c r="A1" s="676" t="s">
        <v>67</v>
      </c>
      <c r="B1" s="676"/>
      <c r="C1" s="676"/>
      <c r="D1" s="676"/>
      <c r="E1" s="676"/>
      <c r="F1" s="676"/>
      <c r="G1" s="676"/>
      <c r="H1" s="676"/>
      <c r="I1" s="676"/>
    </row>
    <row r="2" spans="1:11" ht="17.399999999999999" hidden="1" outlineLevel="1">
      <c r="A2" s="676" t="s">
        <v>470</v>
      </c>
      <c r="B2" s="676"/>
      <c r="C2" s="676"/>
      <c r="D2" s="676"/>
      <c r="E2" s="676"/>
      <c r="F2" s="676"/>
      <c r="G2" s="676"/>
      <c r="H2" s="676"/>
      <c r="I2" s="676"/>
    </row>
    <row r="3" spans="1:11" ht="16.8" hidden="1" outlineLevel="1">
      <c r="A3" s="686" t="s">
        <v>168</v>
      </c>
      <c r="B3" s="686"/>
      <c r="C3" s="686"/>
      <c r="D3" s="686"/>
      <c r="E3" s="686"/>
      <c r="F3" s="686"/>
      <c r="G3" s="686"/>
      <c r="H3" s="686"/>
      <c r="I3" s="686"/>
    </row>
    <row r="4" spans="1:11" hidden="1" outlineLevel="1"/>
    <row r="5" spans="1:11" ht="16.5" customHeight="1" collapsed="1">
      <c r="A5" s="651" t="s">
        <v>32</v>
      </c>
      <c r="B5" s="651" t="s">
        <v>42</v>
      </c>
      <c r="C5" s="651" t="s">
        <v>4</v>
      </c>
      <c r="D5" s="651" t="s">
        <v>154</v>
      </c>
      <c r="E5" s="651" t="s">
        <v>182</v>
      </c>
      <c r="F5" s="683" t="s">
        <v>155</v>
      </c>
      <c r="G5" s="650" t="s">
        <v>471</v>
      </c>
      <c r="H5" s="651" t="s">
        <v>189</v>
      </c>
      <c r="I5" s="651" t="s">
        <v>46</v>
      </c>
    </row>
    <row r="6" spans="1:11">
      <c r="A6" s="653"/>
      <c r="B6" s="653"/>
      <c r="C6" s="653"/>
      <c r="D6" s="653"/>
      <c r="E6" s="653"/>
      <c r="F6" s="684"/>
      <c r="G6" s="650"/>
      <c r="H6" s="653"/>
      <c r="I6" s="653"/>
    </row>
    <row r="7" spans="1:11">
      <c r="A7" s="7">
        <v>1</v>
      </c>
      <c r="B7" s="7">
        <v>2</v>
      </c>
      <c r="C7" s="7">
        <v>3</v>
      </c>
      <c r="D7" s="7"/>
      <c r="E7" s="7"/>
      <c r="F7" s="7">
        <v>4</v>
      </c>
      <c r="G7" s="7">
        <v>5</v>
      </c>
      <c r="H7" s="7" t="s">
        <v>204</v>
      </c>
      <c r="I7" s="7">
        <v>7</v>
      </c>
    </row>
    <row r="8" spans="1:11" ht="23.25" customHeight="1">
      <c r="A8" s="102"/>
      <c r="B8" s="103" t="s">
        <v>68</v>
      </c>
      <c r="C8" s="102"/>
      <c r="D8" s="102"/>
      <c r="E8" s="102"/>
      <c r="F8" s="102"/>
      <c r="G8" s="102"/>
      <c r="H8" s="104"/>
      <c r="I8" s="110"/>
    </row>
    <row r="9" spans="1:11" ht="21" customHeight="1" collapsed="1">
      <c r="A9" s="90" t="s">
        <v>23</v>
      </c>
      <c r="B9" s="91" t="s">
        <v>127</v>
      </c>
      <c r="C9" s="92"/>
      <c r="D9" s="93"/>
      <c r="E9" s="93"/>
      <c r="F9" s="93"/>
      <c r="G9" s="93"/>
      <c r="H9" s="94"/>
      <c r="I9" s="94"/>
      <c r="J9" s="11"/>
    </row>
    <row r="10" spans="1:11" s="15" customFormat="1" ht="25.5" customHeight="1">
      <c r="A10" s="8" t="s">
        <v>21</v>
      </c>
      <c r="B10" s="12" t="s">
        <v>72</v>
      </c>
      <c r="C10" s="9" t="s">
        <v>57</v>
      </c>
      <c r="D10" s="13">
        <v>347871</v>
      </c>
      <c r="E10" s="13">
        <v>313038</v>
      </c>
      <c r="F10" s="13">
        <v>277205</v>
      </c>
      <c r="G10" s="13">
        <v>192306</v>
      </c>
      <c r="H10" s="53">
        <f t="shared" ref="H10:H73" si="0">IFERROR(G10/F10%,"")</f>
        <v>69.3732075539763</v>
      </c>
      <c r="I10" s="69"/>
      <c r="J10" s="14"/>
    </row>
    <row r="11" spans="1:11" ht="21" customHeight="1">
      <c r="A11" s="16" t="s">
        <v>65</v>
      </c>
      <c r="B11" s="17" t="s">
        <v>73</v>
      </c>
      <c r="C11" s="18" t="s">
        <v>57</v>
      </c>
      <c r="D11" s="19">
        <v>90496</v>
      </c>
      <c r="E11" s="19">
        <v>104622</v>
      </c>
      <c r="F11" s="19">
        <v>82860</v>
      </c>
      <c r="G11" s="19">
        <v>76682</v>
      </c>
      <c r="H11" s="48">
        <f t="shared" si="0"/>
        <v>92.544050205165334</v>
      </c>
      <c r="I11" s="3"/>
      <c r="J11" s="11"/>
    </row>
    <row r="12" spans="1:11" s="34" customFormat="1" ht="21" customHeight="1">
      <c r="A12" s="58"/>
      <c r="B12" s="27" t="s">
        <v>206</v>
      </c>
      <c r="C12" s="33" t="s">
        <v>57</v>
      </c>
      <c r="D12" s="59">
        <v>84999</v>
      </c>
      <c r="E12" s="59">
        <v>71796</v>
      </c>
      <c r="F12" s="59">
        <v>70788</v>
      </c>
      <c r="G12" s="59">
        <v>60840</v>
      </c>
      <c r="H12" s="71">
        <f t="shared" si="0"/>
        <v>85.946770639091369</v>
      </c>
      <c r="I12" s="70"/>
      <c r="J12" s="11"/>
      <c r="K12" s="120"/>
    </row>
    <row r="13" spans="1:11" s="15" customFormat="1" ht="20.25" customHeight="1">
      <c r="A13" s="8" t="s">
        <v>22</v>
      </c>
      <c r="B13" s="12" t="s">
        <v>74</v>
      </c>
      <c r="C13" s="9" t="s">
        <v>57</v>
      </c>
      <c r="D13" s="13">
        <v>308217</v>
      </c>
      <c r="E13" s="13">
        <v>300633</v>
      </c>
      <c r="F13" s="13">
        <v>265133</v>
      </c>
      <c r="G13" s="13">
        <v>161283</v>
      </c>
      <c r="H13" s="53">
        <f t="shared" si="0"/>
        <v>60.830979168945397</v>
      </c>
      <c r="I13" s="69"/>
      <c r="J13" s="14"/>
    </row>
    <row r="14" spans="1:11" ht="24" customHeight="1">
      <c r="A14" s="16" t="s">
        <v>65</v>
      </c>
      <c r="B14" s="17" t="s">
        <v>75</v>
      </c>
      <c r="C14" s="18" t="s">
        <v>57</v>
      </c>
      <c r="D14" s="19">
        <v>239615</v>
      </c>
      <c r="E14" s="19">
        <v>264543</v>
      </c>
      <c r="F14" s="19">
        <v>232779</v>
      </c>
      <c r="G14" s="19">
        <v>136351</v>
      </c>
      <c r="H14" s="48">
        <f t="shared" si="0"/>
        <v>58.575301036605538</v>
      </c>
      <c r="I14" s="3"/>
      <c r="J14" s="11"/>
    </row>
    <row r="15" spans="1:11" ht="20.25" customHeight="1">
      <c r="A15" s="90" t="s">
        <v>24</v>
      </c>
      <c r="B15" s="95" t="s">
        <v>77</v>
      </c>
      <c r="C15" s="96"/>
      <c r="D15" s="97"/>
      <c r="E15" s="97"/>
      <c r="F15" s="97"/>
      <c r="G15" s="97"/>
      <c r="H15" s="94" t="str">
        <f t="shared" si="0"/>
        <v/>
      </c>
      <c r="I15" s="94"/>
    </row>
    <row r="16" spans="1:11" ht="20.25" customHeight="1">
      <c r="A16" s="1" t="s">
        <v>33</v>
      </c>
      <c r="B16" s="17" t="s">
        <v>169</v>
      </c>
      <c r="C16" s="1" t="s">
        <v>20</v>
      </c>
      <c r="D16" s="26">
        <f t="shared" ref="D16:G16" si="1">D17+D70</f>
        <v>17898.73</v>
      </c>
      <c r="E16" s="26">
        <f t="shared" si="1"/>
        <v>17734.400000000001</v>
      </c>
      <c r="F16" s="26">
        <f t="shared" si="1"/>
        <v>18028.099999999999</v>
      </c>
      <c r="G16" s="26">
        <f t="shared" si="1"/>
        <v>17639.370000000003</v>
      </c>
      <c r="H16" s="48">
        <f t="shared" si="0"/>
        <v>97.843755026874746</v>
      </c>
      <c r="I16" s="3"/>
    </row>
    <row r="17" spans="1:11" ht="17.25" customHeight="1">
      <c r="A17" s="8" t="s">
        <v>21</v>
      </c>
      <c r="B17" s="12" t="s">
        <v>190</v>
      </c>
      <c r="C17" s="8" t="s">
        <v>20</v>
      </c>
      <c r="D17" s="24">
        <f t="shared" ref="D17:G17" si="2">D20+D49+D56+D52+D65</f>
        <v>8084.73</v>
      </c>
      <c r="E17" s="24">
        <f t="shared" si="2"/>
        <v>7662.8</v>
      </c>
      <c r="F17" s="24">
        <f t="shared" si="2"/>
        <v>7906</v>
      </c>
      <c r="G17" s="24">
        <f t="shared" si="2"/>
        <v>7169.3700000000008</v>
      </c>
      <c r="H17" s="53">
        <f t="shared" si="0"/>
        <v>90.682646091576032</v>
      </c>
      <c r="I17" s="3"/>
      <c r="K17" s="63"/>
    </row>
    <row r="18" spans="1:11" ht="17.25" customHeight="1">
      <c r="A18" s="1" t="s">
        <v>33</v>
      </c>
      <c r="B18" s="17" t="s">
        <v>255</v>
      </c>
      <c r="C18" s="1" t="s">
        <v>20</v>
      </c>
      <c r="D18" s="26"/>
      <c r="E18" s="26"/>
      <c r="F18" s="26">
        <f t="shared" ref="F18:G18" si="3">F28+F43+F52+F59</f>
        <v>747</v>
      </c>
      <c r="G18" s="26">
        <f t="shared" si="3"/>
        <v>743.77</v>
      </c>
      <c r="H18" s="48">
        <f t="shared" si="0"/>
        <v>99.567603748326647</v>
      </c>
      <c r="I18" s="3"/>
      <c r="K18" s="63"/>
    </row>
    <row r="19" spans="1:11" ht="17.25" customHeight="1">
      <c r="A19" s="1" t="s">
        <v>33</v>
      </c>
      <c r="B19" s="17" t="s">
        <v>254</v>
      </c>
      <c r="C19" s="1" t="s">
        <v>20</v>
      </c>
      <c r="D19" s="26"/>
      <c r="E19" s="26"/>
      <c r="F19" s="26">
        <f t="shared" ref="F19" si="4">F31+F46+F49+F62</f>
        <v>7127</v>
      </c>
      <c r="G19" s="26">
        <f>G31+G46+G49+G62</f>
        <v>6411.6</v>
      </c>
      <c r="H19" s="48">
        <f t="shared" si="0"/>
        <v>89.962115897291994</v>
      </c>
      <c r="I19" s="3"/>
      <c r="K19" s="63"/>
    </row>
    <row r="20" spans="1:11" s="15" customFormat="1" ht="17.25" customHeight="1">
      <c r="A20" s="8">
        <v>1</v>
      </c>
      <c r="B20" s="12" t="s">
        <v>7</v>
      </c>
      <c r="C20" s="8" t="s">
        <v>20</v>
      </c>
      <c r="D20" s="24">
        <f t="shared" ref="D20:G20" si="5">D25+D40</f>
        <v>1649.23</v>
      </c>
      <c r="E20" s="24">
        <f t="shared" si="5"/>
        <v>1641.6</v>
      </c>
      <c r="F20" s="24">
        <f t="shared" si="5"/>
        <v>1614</v>
      </c>
      <c r="G20" s="24">
        <f t="shared" si="5"/>
        <v>1646.17</v>
      </c>
      <c r="H20" s="53">
        <f t="shared" si="0"/>
        <v>101.99318463444858</v>
      </c>
      <c r="I20" s="69"/>
      <c r="K20" s="147"/>
    </row>
    <row r="21" spans="1:11" ht="17.25" customHeight="1">
      <c r="A21" s="1" t="s">
        <v>33</v>
      </c>
      <c r="B21" s="17" t="s">
        <v>8</v>
      </c>
      <c r="C21" s="1" t="s">
        <v>5</v>
      </c>
      <c r="D21" s="26">
        <f t="shared" ref="D21:F21" si="6">SUM(D22:D23)</f>
        <v>6733.6763900000005</v>
      </c>
      <c r="E21" s="26">
        <f t="shared" si="6"/>
        <v>7129.6886000000004</v>
      </c>
      <c r="F21" s="26">
        <f t="shared" si="6"/>
        <v>7071.0429999999997</v>
      </c>
      <c r="G21" s="26">
        <f t="shared" ref="G21" si="7">SUM(G22:G23)</f>
        <v>2859.4050999999999</v>
      </c>
      <c r="H21" s="48">
        <f t="shared" si="0"/>
        <v>40.438236622235216</v>
      </c>
      <c r="I21" s="3"/>
    </row>
    <row r="22" spans="1:11" ht="17.25" customHeight="1">
      <c r="A22" s="1"/>
      <c r="B22" s="27" t="s">
        <v>9</v>
      </c>
      <c r="C22" s="1" t="s">
        <v>47</v>
      </c>
      <c r="D22" s="26">
        <f t="shared" ref="D22:G22" si="8">D27</f>
        <v>6298.7078300000003</v>
      </c>
      <c r="E22" s="26">
        <f t="shared" si="8"/>
        <v>6644.7176000000009</v>
      </c>
      <c r="F22" s="26">
        <f t="shared" si="8"/>
        <v>6644.5429999999997</v>
      </c>
      <c r="G22" s="26">
        <f t="shared" si="8"/>
        <v>2714.4050999999999</v>
      </c>
      <c r="H22" s="48">
        <f t="shared" si="0"/>
        <v>40.851644725604153</v>
      </c>
      <c r="I22" s="3"/>
    </row>
    <row r="23" spans="1:11" ht="17.25" customHeight="1">
      <c r="A23" s="1"/>
      <c r="B23" s="17" t="s">
        <v>61</v>
      </c>
      <c r="C23" s="1" t="s">
        <v>47</v>
      </c>
      <c r="D23" s="26">
        <f t="shared" ref="D23:G23" si="9">D42</f>
        <v>434.96856000000002</v>
      </c>
      <c r="E23" s="26">
        <f t="shared" si="9"/>
        <v>484.97099999999995</v>
      </c>
      <c r="F23" s="26">
        <f t="shared" si="9"/>
        <v>426.5</v>
      </c>
      <c r="G23" s="26">
        <f t="shared" si="9"/>
        <v>145</v>
      </c>
      <c r="H23" s="48">
        <f t="shared" si="0"/>
        <v>33.997655334114889</v>
      </c>
      <c r="I23" s="3"/>
    </row>
    <row r="24" spans="1:11" ht="17.25" customHeight="1">
      <c r="A24" s="1" t="s">
        <v>33</v>
      </c>
      <c r="B24" s="17" t="s">
        <v>10</v>
      </c>
      <c r="C24" s="1" t="s">
        <v>34</v>
      </c>
      <c r="D24" s="26">
        <f>D21/D135*1000</f>
        <v>150.81697702024726</v>
      </c>
      <c r="E24" s="26">
        <f>E21/E135*1000</f>
        <v>155.51047178659456</v>
      </c>
      <c r="F24" s="26">
        <f>F21/F135*1000</f>
        <v>150.60152922133241</v>
      </c>
      <c r="G24" s="26" t="str">
        <f>IFERROR(G21/G135*1000,"")</f>
        <v/>
      </c>
      <c r="H24" s="48" t="str">
        <f t="shared" si="0"/>
        <v/>
      </c>
      <c r="I24" s="3"/>
    </row>
    <row r="25" spans="1:11" s="15" customFormat="1" ht="17.25" customHeight="1">
      <c r="A25" s="8" t="s">
        <v>17</v>
      </c>
      <c r="B25" s="36" t="s">
        <v>191</v>
      </c>
      <c r="C25" s="8" t="s">
        <v>20</v>
      </c>
      <c r="D25" s="13">
        <f t="shared" ref="D25:G25" si="10">D28+D31</f>
        <v>1558.31</v>
      </c>
      <c r="E25" s="13">
        <f t="shared" si="10"/>
        <v>1540</v>
      </c>
      <c r="F25" s="13">
        <f t="shared" si="10"/>
        <v>1531</v>
      </c>
      <c r="G25" s="13">
        <f t="shared" si="10"/>
        <v>1560.97</v>
      </c>
      <c r="H25" s="53">
        <f t="shared" si="0"/>
        <v>101.95754408883083</v>
      </c>
      <c r="I25" s="69"/>
    </row>
    <row r="26" spans="1:11" ht="17.25" customHeight="1">
      <c r="A26" s="1"/>
      <c r="B26" s="29" t="s">
        <v>11</v>
      </c>
      <c r="C26" s="1" t="s">
        <v>6</v>
      </c>
      <c r="D26" s="30">
        <f t="shared" ref="D26:G26" si="11">D27/D25*10</f>
        <v>40.420120707689748</v>
      </c>
      <c r="E26" s="30">
        <f t="shared" si="11"/>
        <v>43.147516883116886</v>
      </c>
      <c r="F26" s="30">
        <f t="shared" si="11"/>
        <v>43.400019595035921</v>
      </c>
      <c r="G26" s="30">
        <f t="shared" si="11"/>
        <v>17.389220164384966</v>
      </c>
      <c r="H26" s="48">
        <f t="shared" si="0"/>
        <v>40.067309477376227</v>
      </c>
      <c r="I26" s="3"/>
    </row>
    <row r="27" spans="1:11" ht="17.25" customHeight="1">
      <c r="A27" s="1"/>
      <c r="B27" s="29" t="s">
        <v>12</v>
      </c>
      <c r="C27" s="1" t="s">
        <v>47</v>
      </c>
      <c r="D27" s="19">
        <f t="shared" ref="D27:G27" si="12">D30+D33</f>
        <v>6298.7078300000003</v>
      </c>
      <c r="E27" s="19">
        <f t="shared" si="12"/>
        <v>6644.7176000000009</v>
      </c>
      <c r="F27" s="19">
        <f t="shared" si="12"/>
        <v>6644.5429999999997</v>
      </c>
      <c r="G27" s="19">
        <f t="shared" si="12"/>
        <v>2714.4050999999999</v>
      </c>
      <c r="H27" s="48">
        <f t="shared" si="0"/>
        <v>40.851644725604153</v>
      </c>
      <c r="I27" s="3"/>
    </row>
    <row r="28" spans="1:11" ht="17.25" customHeight="1">
      <c r="A28" s="1" t="s">
        <v>183</v>
      </c>
      <c r="B28" s="100" t="s">
        <v>192</v>
      </c>
      <c r="C28" s="1" t="s">
        <v>20</v>
      </c>
      <c r="D28" s="19">
        <v>597.30999999999995</v>
      </c>
      <c r="E28" s="119">
        <v>570.5</v>
      </c>
      <c r="F28" s="49">
        <v>571</v>
      </c>
      <c r="G28" s="49">
        <v>573.87</v>
      </c>
      <c r="H28" s="48">
        <f t="shared" si="0"/>
        <v>100.50262697022767</v>
      </c>
      <c r="I28" s="3"/>
    </row>
    <row r="29" spans="1:11" ht="17.25" customHeight="1">
      <c r="A29" s="1"/>
      <c r="B29" s="100" t="s">
        <v>11</v>
      </c>
      <c r="C29" s="1" t="s">
        <v>6</v>
      </c>
      <c r="D29" s="22">
        <v>39.33</v>
      </c>
      <c r="E29" s="30">
        <v>47.2</v>
      </c>
      <c r="F29" s="48">
        <v>47.33</v>
      </c>
      <c r="G29" s="48">
        <v>47.3</v>
      </c>
      <c r="H29" s="48">
        <f t="shared" si="0"/>
        <v>99.936615254595395</v>
      </c>
      <c r="I29" s="3"/>
    </row>
    <row r="30" spans="1:11" ht="17.25" customHeight="1">
      <c r="A30" s="1"/>
      <c r="B30" s="101" t="s">
        <v>12</v>
      </c>
      <c r="C30" s="1" t="s">
        <v>47</v>
      </c>
      <c r="D30" s="19">
        <f t="shared" ref="D30:G30" si="13">D28*D29/10</f>
        <v>2349.2202299999999</v>
      </c>
      <c r="E30" s="19">
        <f t="shared" si="13"/>
        <v>2692.76</v>
      </c>
      <c r="F30" s="19">
        <f t="shared" si="13"/>
        <v>2702.5430000000001</v>
      </c>
      <c r="G30" s="19">
        <f t="shared" si="13"/>
        <v>2714.4050999999999</v>
      </c>
      <c r="H30" s="48">
        <f t="shared" si="0"/>
        <v>100.43892363599765</v>
      </c>
      <c r="I30" s="3"/>
    </row>
    <row r="31" spans="1:11" ht="17.25" customHeight="1">
      <c r="A31" s="1" t="s">
        <v>184</v>
      </c>
      <c r="B31" s="100" t="s">
        <v>193</v>
      </c>
      <c r="C31" s="1" t="s">
        <v>20</v>
      </c>
      <c r="D31" s="19">
        <f t="shared" ref="D31:G31" si="14">D34+D37</f>
        <v>961</v>
      </c>
      <c r="E31" s="26">
        <f t="shared" si="14"/>
        <v>969.5</v>
      </c>
      <c r="F31" s="26">
        <f t="shared" si="14"/>
        <v>960</v>
      </c>
      <c r="G31" s="26">
        <f t="shared" si="14"/>
        <v>987.1</v>
      </c>
      <c r="H31" s="48">
        <f t="shared" si="0"/>
        <v>102.82291666666667</v>
      </c>
      <c r="I31" s="3"/>
    </row>
    <row r="32" spans="1:11" ht="17.25" customHeight="1">
      <c r="A32" s="1"/>
      <c r="B32" s="101" t="s">
        <v>11</v>
      </c>
      <c r="C32" s="1" t="s">
        <v>6</v>
      </c>
      <c r="D32" s="30">
        <f t="shared" ref="D32:G32" si="15">D33/D31*10</f>
        <v>41.097685744016658</v>
      </c>
      <c r="E32" s="25">
        <f t="shared" si="15"/>
        <v>40.762842702423939</v>
      </c>
      <c r="F32" s="25">
        <f t="shared" si="15"/>
        <v>41.0625</v>
      </c>
      <c r="G32" s="25">
        <f t="shared" si="15"/>
        <v>0</v>
      </c>
      <c r="H32" s="48">
        <f t="shared" si="0"/>
        <v>0</v>
      </c>
      <c r="I32" s="3"/>
    </row>
    <row r="33" spans="1:9" ht="17.25" customHeight="1">
      <c r="A33" s="1"/>
      <c r="B33" s="101" t="s">
        <v>12</v>
      </c>
      <c r="C33" s="1" t="s">
        <v>47</v>
      </c>
      <c r="D33" s="19">
        <f t="shared" ref="D33:G33" si="16">D36+D39</f>
        <v>3949.4876000000004</v>
      </c>
      <c r="E33" s="26">
        <f t="shared" si="16"/>
        <v>3951.9576000000006</v>
      </c>
      <c r="F33" s="26">
        <f t="shared" si="16"/>
        <v>3942</v>
      </c>
      <c r="G33" s="26">
        <f t="shared" si="16"/>
        <v>0</v>
      </c>
      <c r="H33" s="48">
        <f t="shared" si="0"/>
        <v>0</v>
      </c>
      <c r="I33" s="3"/>
    </row>
    <row r="34" spans="1:9" ht="17.25" customHeight="1">
      <c r="A34" s="1"/>
      <c r="B34" s="98" t="s">
        <v>194</v>
      </c>
      <c r="C34" s="1" t="s">
        <v>20</v>
      </c>
      <c r="D34" s="19">
        <v>906.4</v>
      </c>
      <c r="E34" s="30">
        <v>903.3</v>
      </c>
      <c r="F34" s="19">
        <v>900</v>
      </c>
      <c r="G34" s="19">
        <v>893.2</v>
      </c>
      <c r="H34" s="48">
        <f t="shared" si="0"/>
        <v>99.244444444444454</v>
      </c>
      <c r="I34" s="3"/>
    </row>
    <row r="35" spans="1:9" ht="17.25" customHeight="1">
      <c r="A35" s="1"/>
      <c r="B35" s="99" t="s">
        <v>11</v>
      </c>
      <c r="C35" s="1" t="s">
        <v>6</v>
      </c>
      <c r="D35" s="22">
        <v>42.83</v>
      </c>
      <c r="E35" s="30">
        <v>42.84</v>
      </c>
      <c r="F35" s="30">
        <v>43</v>
      </c>
      <c r="G35" s="30"/>
      <c r="H35" s="48">
        <f t="shared" si="0"/>
        <v>0</v>
      </c>
      <c r="I35" s="3"/>
    </row>
    <row r="36" spans="1:9" ht="17.25" customHeight="1">
      <c r="A36" s="1"/>
      <c r="B36" s="99" t="s">
        <v>12</v>
      </c>
      <c r="C36" s="1" t="s">
        <v>47</v>
      </c>
      <c r="D36" s="19">
        <f>D35*D34/10</f>
        <v>3882.1112000000003</v>
      </c>
      <c r="E36" s="19">
        <f t="shared" ref="E36:G36" si="17">E34*E35/10</f>
        <v>3869.7372000000005</v>
      </c>
      <c r="F36" s="19">
        <f t="shared" si="17"/>
        <v>3870</v>
      </c>
      <c r="G36" s="66">
        <f t="shared" si="17"/>
        <v>0</v>
      </c>
      <c r="H36" s="48">
        <f t="shared" si="0"/>
        <v>0</v>
      </c>
      <c r="I36" s="3"/>
    </row>
    <row r="37" spans="1:9" ht="17.25" customHeight="1">
      <c r="A37" s="1"/>
      <c r="B37" s="98" t="s">
        <v>207</v>
      </c>
      <c r="C37" s="1" t="s">
        <v>20</v>
      </c>
      <c r="D37" s="19">
        <v>54.6</v>
      </c>
      <c r="E37" s="19">
        <v>66.2</v>
      </c>
      <c r="F37" s="19">
        <v>60</v>
      </c>
      <c r="G37" s="19">
        <v>93.9</v>
      </c>
      <c r="H37" s="48">
        <f t="shared" si="0"/>
        <v>156.50000000000003</v>
      </c>
      <c r="I37" s="3"/>
    </row>
    <row r="38" spans="1:9" ht="17.25" customHeight="1">
      <c r="A38" s="1"/>
      <c r="B38" s="99" t="s">
        <v>11</v>
      </c>
      <c r="C38" s="1" t="s">
        <v>6</v>
      </c>
      <c r="D38" s="30">
        <v>12.34</v>
      </c>
      <c r="E38" s="30">
        <v>12.42</v>
      </c>
      <c r="F38" s="30">
        <v>12</v>
      </c>
      <c r="G38" s="30"/>
      <c r="H38" s="48">
        <f t="shared" si="0"/>
        <v>0</v>
      </c>
      <c r="I38" s="3"/>
    </row>
    <row r="39" spans="1:9" ht="17.25" customHeight="1">
      <c r="A39" s="1"/>
      <c r="B39" s="99" t="s">
        <v>12</v>
      </c>
      <c r="C39" s="1" t="s">
        <v>47</v>
      </c>
      <c r="D39" s="19">
        <f t="shared" ref="D39:G39" si="18">D38*D37/10</f>
        <v>67.376400000000004</v>
      </c>
      <c r="E39" s="19">
        <f t="shared" si="18"/>
        <v>82.220400000000012</v>
      </c>
      <c r="F39" s="19">
        <f t="shared" si="18"/>
        <v>72</v>
      </c>
      <c r="G39" s="66">
        <f t="shared" si="18"/>
        <v>0</v>
      </c>
      <c r="H39" s="48">
        <f t="shared" si="0"/>
        <v>0</v>
      </c>
      <c r="I39" s="3"/>
    </row>
    <row r="40" spans="1:9" s="15" customFormat="1" ht="17.25" customHeight="1">
      <c r="A40" s="8" t="s">
        <v>18</v>
      </c>
      <c r="B40" s="36" t="s">
        <v>195</v>
      </c>
      <c r="C40" s="8" t="s">
        <v>20</v>
      </c>
      <c r="D40" s="13">
        <f t="shared" ref="D40:G40" si="19">D43+D46</f>
        <v>90.92</v>
      </c>
      <c r="E40" s="13">
        <f t="shared" si="19"/>
        <v>101.6</v>
      </c>
      <c r="F40" s="13">
        <f t="shared" si="19"/>
        <v>83</v>
      </c>
      <c r="G40" s="13">
        <f t="shared" si="19"/>
        <v>85.2</v>
      </c>
      <c r="H40" s="53">
        <f t="shared" si="0"/>
        <v>102.65060240963857</v>
      </c>
      <c r="I40" s="69"/>
    </row>
    <row r="41" spans="1:9" ht="17.25" customHeight="1">
      <c r="A41" s="1"/>
      <c r="B41" s="29" t="s">
        <v>11</v>
      </c>
      <c r="C41" s="1" t="s">
        <v>6</v>
      </c>
      <c r="D41" s="30">
        <f t="shared" ref="D41:G41" si="20">D42/D40*10</f>
        <v>47.840800703915534</v>
      </c>
      <c r="E41" s="30">
        <f t="shared" si="20"/>
        <v>47.733366141732283</v>
      </c>
      <c r="F41" s="30">
        <f t="shared" si="20"/>
        <v>51.385542168674696</v>
      </c>
      <c r="G41" s="30">
        <f t="shared" si="20"/>
        <v>17.018779342723004</v>
      </c>
      <c r="H41" s="48">
        <f t="shared" si="0"/>
        <v>33.119781604830237</v>
      </c>
      <c r="I41" s="3"/>
    </row>
    <row r="42" spans="1:9" ht="17.25" customHeight="1">
      <c r="A42" s="1"/>
      <c r="B42" s="29" t="s">
        <v>12</v>
      </c>
      <c r="C42" s="1" t="s">
        <v>47</v>
      </c>
      <c r="D42" s="19">
        <f t="shared" ref="D42:G42" si="21">D45+D48</f>
        <v>434.96856000000002</v>
      </c>
      <c r="E42" s="19">
        <f t="shared" si="21"/>
        <v>484.97099999999995</v>
      </c>
      <c r="F42" s="19">
        <f t="shared" si="21"/>
        <v>426.5</v>
      </c>
      <c r="G42" s="19">
        <f t="shared" si="21"/>
        <v>145</v>
      </c>
      <c r="H42" s="48">
        <f t="shared" si="0"/>
        <v>33.997655334114889</v>
      </c>
      <c r="I42" s="3"/>
    </row>
    <row r="43" spans="1:9" ht="17.25" customHeight="1">
      <c r="A43" s="1" t="s">
        <v>185</v>
      </c>
      <c r="B43" s="100" t="s">
        <v>208</v>
      </c>
      <c r="C43" s="1" t="s">
        <v>20</v>
      </c>
      <c r="D43" s="26">
        <v>28.22</v>
      </c>
      <c r="E43" s="26">
        <v>38.700000000000003</v>
      </c>
      <c r="F43" s="26">
        <v>23</v>
      </c>
      <c r="G43" s="26">
        <v>25</v>
      </c>
      <c r="H43" s="48">
        <f t="shared" si="0"/>
        <v>108.69565217391303</v>
      </c>
      <c r="I43" s="3"/>
    </row>
    <row r="44" spans="1:9" ht="17.25" customHeight="1">
      <c r="A44" s="1"/>
      <c r="B44" s="100" t="s">
        <v>11</v>
      </c>
      <c r="C44" s="1" t="s">
        <v>6</v>
      </c>
      <c r="D44" s="25">
        <v>56.13</v>
      </c>
      <c r="E44" s="25">
        <v>47.3</v>
      </c>
      <c r="F44" s="25">
        <v>55</v>
      </c>
      <c r="G44" s="25">
        <v>58</v>
      </c>
      <c r="H44" s="48">
        <f t="shared" si="0"/>
        <v>105.45454545454544</v>
      </c>
      <c r="I44" s="3"/>
    </row>
    <row r="45" spans="1:9" ht="17.25" customHeight="1">
      <c r="A45" s="1"/>
      <c r="B45" s="101" t="s">
        <v>12</v>
      </c>
      <c r="C45" s="1" t="s">
        <v>47</v>
      </c>
      <c r="D45" s="26">
        <f t="shared" ref="D45:G45" si="22">D44*D43/10</f>
        <v>158.39885999999998</v>
      </c>
      <c r="E45" s="26">
        <f t="shared" si="22"/>
        <v>183.05099999999999</v>
      </c>
      <c r="F45" s="26">
        <f t="shared" si="22"/>
        <v>126.5</v>
      </c>
      <c r="G45" s="26">
        <f t="shared" si="22"/>
        <v>145</v>
      </c>
      <c r="H45" s="48">
        <f t="shared" si="0"/>
        <v>114.62450592885376</v>
      </c>
      <c r="I45" s="3"/>
    </row>
    <row r="46" spans="1:9" ht="17.25" customHeight="1">
      <c r="A46" s="1" t="s">
        <v>186</v>
      </c>
      <c r="B46" s="100" t="s">
        <v>209</v>
      </c>
      <c r="C46" s="1" t="s">
        <v>20</v>
      </c>
      <c r="D46" s="26">
        <v>62.7</v>
      </c>
      <c r="E46" s="26">
        <v>62.9</v>
      </c>
      <c r="F46" s="26">
        <v>60</v>
      </c>
      <c r="G46" s="26">
        <v>60.2</v>
      </c>
      <c r="H46" s="48">
        <f t="shared" si="0"/>
        <v>100.33333333333334</v>
      </c>
      <c r="I46" s="3"/>
    </row>
    <row r="47" spans="1:9" ht="17.25" customHeight="1">
      <c r="A47" s="1"/>
      <c r="B47" s="100" t="s">
        <v>11</v>
      </c>
      <c r="C47" s="1" t="s">
        <v>6</v>
      </c>
      <c r="D47" s="25">
        <v>44.11</v>
      </c>
      <c r="E47" s="25">
        <v>48</v>
      </c>
      <c r="F47" s="25">
        <v>50</v>
      </c>
      <c r="G47" s="25"/>
      <c r="H47" s="48">
        <f t="shared" si="0"/>
        <v>0</v>
      </c>
      <c r="I47" s="3"/>
    </row>
    <row r="48" spans="1:9" ht="17.25" customHeight="1">
      <c r="A48" s="1"/>
      <c r="B48" s="101" t="s">
        <v>12</v>
      </c>
      <c r="C48" s="1" t="s">
        <v>47</v>
      </c>
      <c r="D48" s="26">
        <f>D46*D47/10</f>
        <v>276.56970000000001</v>
      </c>
      <c r="E48" s="26">
        <f t="shared" ref="E48:G48" si="23">E47*E46/10</f>
        <v>301.91999999999996</v>
      </c>
      <c r="F48" s="26">
        <f t="shared" si="23"/>
        <v>300</v>
      </c>
      <c r="G48" s="26">
        <f t="shared" si="23"/>
        <v>0</v>
      </c>
      <c r="H48" s="48">
        <f t="shared" si="0"/>
        <v>0</v>
      </c>
      <c r="I48" s="3"/>
    </row>
    <row r="49" spans="1:9" ht="19.5" customHeight="1">
      <c r="A49" s="8">
        <v>2</v>
      </c>
      <c r="B49" s="12" t="s">
        <v>13</v>
      </c>
      <c r="C49" s="1" t="s">
        <v>20</v>
      </c>
      <c r="D49" s="24">
        <v>6199.5</v>
      </c>
      <c r="E49" s="24">
        <v>5720.5</v>
      </c>
      <c r="F49" s="24">
        <v>6000</v>
      </c>
      <c r="G49" s="24">
        <v>5281.3</v>
      </c>
      <c r="H49" s="53">
        <f t="shared" si="0"/>
        <v>88.021666666666675</v>
      </c>
      <c r="I49" s="3"/>
    </row>
    <row r="50" spans="1:9" ht="19.5" customHeight="1">
      <c r="A50" s="31"/>
      <c r="B50" s="29" t="s">
        <v>11</v>
      </c>
      <c r="C50" s="1" t="s">
        <v>6</v>
      </c>
      <c r="D50" s="25">
        <f>D51/D49*10</f>
        <v>148.34260827486088</v>
      </c>
      <c r="E50" s="25">
        <v>148.51</v>
      </c>
      <c r="F50" s="25">
        <v>145</v>
      </c>
      <c r="G50" s="25"/>
      <c r="H50" s="53">
        <f t="shared" si="0"/>
        <v>0</v>
      </c>
      <c r="I50" s="3"/>
    </row>
    <row r="51" spans="1:9" ht="19.5" customHeight="1">
      <c r="A51" s="31"/>
      <c r="B51" s="29" t="s">
        <v>12</v>
      </c>
      <c r="C51" s="1" t="s">
        <v>47</v>
      </c>
      <c r="D51" s="26">
        <v>91965</v>
      </c>
      <c r="E51" s="26">
        <f>E50*E49/10</f>
        <v>84955.145499999999</v>
      </c>
      <c r="F51" s="26">
        <f>F50*F49/10</f>
        <v>87000</v>
      </c>
      <c r="G51" s="26">
        <f>G50*G49/10</f>
        <v>0</v>
      </c>
      <c r="H51" s="53">
        <f t="shared" si="0"/>
        <v>0</v>
      </c>
      <c r="I51" s="3"/>
    </row>
    <row r="52" spans="1:9" s="15" customFormat="1" ht="19.5" customHeight="1">
      <c r="A52" s="8">
        <v>3</v>
      </c>
      <c r="B52" s="12" t="s">
        <v>114</v>
      </c>
      <c r="C52" s="8" t="s">
        <v>20</v>
      </c>
      <c r="D52" s="24">
        <v>9.1999999999999993</v>
      </c>
      <c r="E52" s="24">
        <v>10.5</v>
      </c>
      <c r="F52" s="24">
        <v>30</v>
      </c>
      <c r="G52" s="24">
        <v>29.1</v>
      </c>
      <c r="H52" s="53">
        <f t="shared" si="0"/>
        <v>97.000000000000014</v>
      </c>
      <c r="I52" s="69"/>
    </row>
    <row r="53" spans="1:9" ht="19.5" customHeight="1">
      <c r="A53" s="1"/>
      <c r="B53" s="27" t="s">
        <v>53</v>
      </c>
      <c r="C53" s="1" t="s">
        <v>20</v>
      </c>
      <c r="D53" s="26"/>
      <c r="E53" s="26"/>
      <c r="F53" s="26">
        <v>20</v>
      </c>
      <c r="G53" s="26">
        <v>19.100000000000001</v>
      </c>
      <c r="H53" s="48">
        <f t="shared" si="0"/>
        <v>95.5</v>
      </c>
      <c r="I53" s="3"/>
    </row>
    <row r="54" spans="1:9" ht="19.5" customHeight="1">
      <c r="A54" s="31"/>
      <c r="B54" s="29" t="s">
        <v>11</v>
      </c>
      <c r="C54" s="1" t="s">
        <v>6</v>
      </c>
      <c r="D54" s="25"/>
      <c r="E54" s="25">
        <v>600</v>
      </c>
      <c r="F54" s="25">
        <v>733.3</v>
      </c>
      <c r="G54" s="25"/>
      <c r="H54" s="48">
        <f t="shared" si="0"/>
        <v>0</v>
      </c>
      <c r="I54" s="3"/>
    </row>
    <row r="55" spans="1:9" ht="19.5" customHeight="1">
      <c r="A55" s="31"/>
      <c r="B55" s="29" t="s">
        <v>12</v>
      </c>
      <c r="C55" s="1" t="s">
        <v>47</v>
      </c>
      <c r="D55" s="26">
        <f t="shared" ref="D55:G55" si="24">D54*D52/10</f>
        <v>0</v>
      </c>
      <c r="E55" s="26">
        <f t="shared" si="24"/>
        <v>630</v>
      </c>
      <c r="F55" s="26">
        <f t="shared" si="24"/>
        <v>2199.9</v>
      </c>
      <c r="G55" s="26">
        <f t="shared" si="24"/>
        <v>0</v>
      </c>
      <c r="H55" s="48">
        <f t="shared" si="0"/>
        <v>0</v>
      </c>
      <c r="I55" s="3"/>
    </row>
    <row r="56" spans="1:9" ht="19.5" customHeight="1">
      <c r="A56" s="8">
        <v>4</v>
      </c>
      <c r="B56" s="12" t="s">
        <v>60</v>
      </c>
      <c r="C56" s="1" t="s">
        <v>20</v>
      </c>
      <c r="D56" s="24">
        <f t="shared" ref="D56:G56" si="25">D59+D62</f>
        <v>219.3</v>
      </c>
      <c r="E56" s="24">
        <f t="shared" si="25"/>
        <v>259</v>
      </c>
      <c r="F56" s="24">
        <f t="shared" si="25"/>
        <v>230</v>
      </c>
      <c r="G56" s="24">
        <f t="shared" si="25"/>
        <v>198.8</v>
      </c>
      <c r="H56" s="53">
        <f t="shared" si="0"/>
        <v>86.43478260869567</v>
      </c>
      <c r="I56" s="3"/>
    </row>
    <row r="57" spans="1:9" ht="19.5" customHeight="1">
      <c r="A57" s="31"/>
      <c r="B57" s="29" t="s">
        <v>11</v>
      </c>
      <c r="C57" s="1" t="s">
        <v>6</v>
      </c>
      <c r="D57" s="25">
        <f t="shared" ref="D57:G57" si="26">D58/D56*10</f>
        <v>119.96580027359781</v>
      </c>
      <c r="E57" s="25">
        <f t="shared" si="26"/>
        <v>134.57142857142858</v>
      </c>
      <c r="F57" s="25">
        <f t="shared" si="26"/>
        <v>136.63173913043477</v>
      </c>
      <c r="G57" s="25">
        <f t="shared" si="26"/>
        <v>88.539235412474838</v>
      </c>
      <c r="H57" s="48">
        <f t="shared" si="0"/>
        <v>64.801367512384019</v>
      </c>
      <c r="I57" s="3"/>
    </row>
    <row r="58" spans="1:9" ht="19.5" customHeight="1">
      <c r="A58" s="31"/>
      <c r="B58" s="29" t="s">
        <v>12</v>
      </c>
      <c r="C58" s="1" t="s">
        <v>47</v>
      </c>
      <c r="D58" s="26">
        <f t="shared" ref="D58:G58" si="27">D61+D64</f>
        <v>2630.85</v>
      </c>
      <c r="E58" s="26">
        <f t="shared" si="27"/>
        <v>3485.4</v>
      </c>
      <c r="F58" s="26">
        <f t="shared" si="27"/>
        <v>3142.5299999999997</v>
      </c>
      <c r="G58" s="26">
        <f t="shared" si="27"/>
        <v>1760.1599999999999</v>
      </c>
      <c r="H58" s="48">
        <f t="shared" si="0"/>
        <v>56.010921136791062</v>
      </c>
      <c r="I58" s="3"/>
    </row>
    <row r="59" spans="1:9" ht="19.5" customHeight="1">
      <c r="A59" s="1"/>
      <c r="B59" s="118" t="s">
        <v>210</v>
      </c>
      <c r="C59" s="18" t="s">
        <v>20</v>
      </c>
      <c r="D59" s="19">
        <v>97.3</v>
      </c>
      <c r="E59" s="19">
        <v>137</v>
      </c>
      <c r="F59" s="19">
        <v>123</v>
      </c>
      <c r="G59" s="19">
        <v>115.8</v>
      </c>
      <c r="H59" s="48">
        <f t="shared" si="0"/>
        <v>94.146341463414629</v>
      </c>
      <c r="I59" s="3"/>
    </row>
    <row r="60" spans="1:9" ht="19.5" customHeight="1">
      <c r="A60" s="1"/>
      <c r="B60" s="118" t="s">
        <v>11</v>
      </c>
      <c r="C60" s="18" t="s">
        <v>6</v>
      </c>
      <c r="D60" s="30">
        <v>145</v>
      </c>
      <c r="E60" s="30">
        <v>152</v>
      </c>
      <c r="F60" s="30">
        <v>151.1</v>
      </c>
      <c r="G60" s="30">
        <v>152</v>
      </c>
      <c r="H60" s="48">
        <f t="shared" si="0"/>
        <v>100.59563203176705</v>
      </c>
      <c r="I60" s="3"/>
    </row>
    <row r="61" spans="1:9" ht="19.5" customHeight="1">
      <c r="A61" s="1"/>
      <c r="B61" s="118" t="s">
        <v>12</v>
      </c>
      <c r="C61" s="18" t="s">
        <v>47</v>
      </c>
      <c r="D61" s="19">
        <f t="shared" ref="D61:G61" si="28">D60*D59/10</f>
        <v>1410.85</v>
      </c>
      <c r="E61" s="19">
        <f t="shared" si="28"/>
        <v>2082.4</v>
      </c>
      <c r="F61" s="19">
        <f t="shared" si="28"/>
        <v>1858.53</v>
      </c>
      <c r="G61" s="19">
        <f t="shared" si="28"/>
        <v>1760.1599999999999</v>
      </c>
      <c r="H61" s="48">
        <f t="shared" si="0"/>
        <v>94.707107229907493</v>
      </c>
      <c r="I61" s="3"/>
    </row>
    <row r="62" spans="1:9" ht="19.5" customHeight="1">
      <c r="A62" s="1"/>
      <c r="B62" s="118" t="s">
        <v>211</v>
      </c>
      <c r="C62" s="18" t="s">
        <v>20</v>
      </c>
      <c r="D62" s="19">
        <v>122</v>
      </c>
      <c r="E62" s="19">
        <v>122</v>
      </c>
      <c r="F62" s="19">
        <v>107</v>
      </c>
      <c r="G62" s="19">
        <v>83</v>
      </c>
      <c r="H62" s="48">
        <f t="shared" si="0"/>
        <v>77.570093457943926</v>
      </c>
      <c r="I62" s="3"/>
    </row>
    <row r="63" spans="1:9" ht="19.5" customHeight="1">
      <c r="A63" s="1"/>
      <c r="B63" s="118" t="s">
        <v>11</v>
      </c>
      <c r="C63" s="18" t="s">
        <v>6</v>
      </c>
      <c r="D63" s="30">
        <v>100</v>
      </c>
      <c r="E63" s="30">
        <v>115</v>
      </c>
      <c r="F63" s="30">
        <v>120</v>
      </c>
      <c r="G63" s="30"/>
      <c r="H63" s="48">
        <f t="shared" si="0"/>
        <v>0</v>
      </c>
      <c r="I63" s="3"/>
    </row>
    <row r="64" spans="1:9" ht="19.5" customHeight="1">
      <c r="A64" s="1"/>
      <c r="B64" s="118" t="s">
        <v>12</v>
      </c>
      <c r="C64" s="18" t="s">
        <v>47</v>
      </c>
      <c r="D64" s="19">
        <f t="shared" ref="D64:G64" si="29">D63*D62/10</f>
        <v>1220</v>
      </c>
      <c r="E64" s="19">
        <f t="shared" si="29"/>
        <v>1403</v>
      </c>
      <c r="F64" s="19">
        <f t="shared" si="29"/>
        <v>1284</v>
      </c>
      <c r="G64" s="19">
        <f t="shared" si="29"/>
        <v>0</v>
      </c>
      <c r="H64" s="48">
        <f t="shared" si="0"/>
        <v>0</v>
      </c>
      <c r="I64" s="3"/>
    </row>
    <row r="65" spans="1:10" s="15" customFormat="1" ht="31.2">
      <c r="A65" s="8">
        <v>5</v>
      </c>
      <c r="B65" s="12" t="s">
        <v>179</v>
      </c>
      <c r="C65" s="8" t="s">
        <v>20</v>
      </c>
      <c r="D65" s="28">
        <f t="shared" ref="D65:E65" si="30">SUM(D66:D68)</f>
        <v>7.5</v>
      </c>
      <c r="E65" s="28">
        <f t="shared" si="30"/>
        <v>31.2</v>
      </c>
      <c r="F65" s="28">
        <f t="shared" ref="F65" si="31">SUM(F66:F69)</f>
        <v>32</v>
      </c>
      <c r="G65" s="28">
        <v>14</v>
      </c>
      <c r="H65" s="53">
        <f t="shared" si="0"/>
        <v>43.75</v>
      </c>
      <c r="I65" s="69"/>
    </row>
    <row r="66" spans="1:10" s="88" customFormat="1" ht="19.5" hidden="1" customHeight="1" outlineLevel="1">
      <c r="A66" s="84"/>
      <c r="B66" s="85" t="s">
        <v>170</v>
      </c>
      <c r="C66" s="84" t="s">
        <v>20</v>
      </c>
      <c r="D66" s="133">
        <v>3.7</v>
      </c>
      <c r="E66" s="133">
        <v>4</v>
      </c>
      <c r="F66" s="133">
        <v>4</v>
      </c>
      <c r="G66" s="133">
        <v>2.5</v>
      </c>
      <c r="H66" s="87">
        <f t="shared" si="0"/>
        <v>62.5</v>
      </c>
      <c r="I66" s="111"/>
    </row>
    <row r="67" spans="1:10" s="88" customFormat="1" ht="19.5" hidden="1" customHeight="1" outlineLevel="1">
      <c r="A67" s="84"/>
      <c r="B67" s="85" t="s">
        <v>171</v>
      </c>
      <c r="C67" s="84" t="s">
        <v>20</v>
      </c>
      <c r="D67" s="133">
        <v>3.8</v>
      </c>
      <c r="E67" s="133">
        <v>4</v>
      </c>
      <c r="F67" s="133">
        <v>4</v>
      </c>
      <c r="G67" s="133">
        <v>0.8</v>
      </c>
      <c r="H67" s="87">
        <f t="shared" si="0"/>
        <v>20</v>
      </c>
      <c r="I67" s="111"/>
    </row>
    <row r="68" spans="1:10" s="88" customFormat="1" ht="19.5" hidden="1" customHeight="1" outlineLevel="1">
      <c r="A68" s="84"/>
      <c r="B68" s="85" t="s">
        <v>172</v>
      </c>
      <c r="C68" s="84" t="s">
        <v>20</v>
      </c>
      <c r="D68" s="133"/>
      <c r="E68" s="133">
        <v>23.2</v>
      </c>
      <c r="F68" s="133">
        <v>24</v>
      </c>
      <c r="G68" s="133">
        <v>15.1</v>
      </c>
      <c r="H68" s="87">
        <f t="shared" si="0"/>
        <v>62.916666666666664</v>
      </c>
      <c r="I68" s="111"/>
    </row>
    <row r="69" spans="1:10" s="88" customFormat="1" ht="19.5" hidden="1" customHeight="1" outlineLevel="1">
      <c r="A69" s="84"/>
      <c r="B69" s="85" t="s">
        <v>249</v>
      </c>
      <c r="C69" s="84" t="s">
        <v>20</v>
      </c>
      <c r="D69" s="133"/>
      <c r="E69" s="133"/>
      <c r="F69" s="133"/>
      <c r="G69" s="133"/>
      <c r="H69" s="87" t="str">
        <f t="shared" si="0"/>
        <v/>
      </c>
      <c r="I69" s="111"/>
    </row>
    <row r="70" spans="1:10" ht="17.25" customHeight="1" collapsed="1">
      <c r="A70" s="21" t="s">
        <v>22</v>
      </c>
      <c r="B70" s="12" t="s">
        <v>52</v>
      </c>
      <c r="C70" s="8" t="s">
        <v>20</v>
      </c>
      <c r="D70" s="24">
        <f t="shared" ref="D70:E70" si="32">D71+D88+D89</f>
        <v>9814</v>
      </c>
      <c r="E70" s="24">
        <f t="shared" si="32"/>
        <v>10071.6</v>
      </c>
      <c r="F70" s="24">
        <f>F71+F84+F88+F89</f>
        <v>10122.1</v>
      </c>
      <c r="G70" s="24">
        <f>G71+G84+G88+G89</f>
        <v>10470</v>
      </c>
      <c r="H70" s="53">
        <f t="shared" si="0"/>
        <v>103.43703381709329</v>
      </c>
      <c r="I70" s="3"/>
    </row>
    <row r="71" spans="1:10" s="15" customFormat="1" ht="17.25" customHeight="1">
      <c r="A71" s="21">
        <v>1</v>
      </c>
      <c r="B71" s="20" t="s">
        <v>199</v>
      </c>
      <c r="C71" s="8" t="s">
        <v>20</v>
      </c>
      <c r="D71" s="24">
        <f t="shared" ref="D71:G71" si="33">D72+D78</f>
        <v>9537.2999999999993</v>
      </c>
      <c r="E71" s="24">
        <f t="shared" si="33"/>
        <v>9722.1</v>
      </c>
      <c r="F71" s="24">
        <f t="shared" si="33"/>
        <v>9772.1</v>
      </c>
      <c r="G71" s="24">
        <f t="shared" si="33"/>
        <v>10013</v>
      </c>
      <c r="H71" s="53">
        <f t="shared" si="0"/>
        <v>102.46518148606748</v>
      </c>
      <c r="I71" s="69"/>
    </row>
    <row r="72" spans="1:10" s="15" customFormat="1" ht="17.25" customHeight="1">
      <c r="A72" s="8" t="s">
        <v>17</v>
      </c>
      <c r="B72" s="12" t="s">
        <v>196</v>
      </c>
      <c r="C72" s="8" t="s">
        <v>20</v>
      </c>
      <c r="D72" s="13">
        <v>1743.8</v>
      </c>
      <c r="E72" s="13">
        <f>D72+E73</f>
        <v>1919.5</v>
      </c>
      <c r="F72" s="13">
        <f>E72+F73</f>
        <v>1969.5</v>
      </c>
      <c r="G72" s="13">
        <f>E72+G73-G74</f>
        <v>2287.9</v>
      </c>
      <c r="H72" s="53">
        <f t="shared" si="0"/>
        <v>116.16653973089618</v>
      </c>
      <c r="I72" s="69"/>
    </row>
    <row r="73" spans="1:10" ht="17.25" customHeight="1">
      <c r="A73" s="1"/>
      <c r="B73" s="17" t="s">
        <v>53</v>
      </c>
      <c r="C73" s="1" t="s">
        <v>20</v>
      </c>
      <c r="D73" s="30">
        <v>185.9</v>
      </c>
      <c r="E73" s="30">
        <v>175.7</v>
      </c>
      <c r="F73" s="30">
        <v>50</v>
      </c>
      <c r="G73" s="30">
        <v>374.4</v>
      </c>
      <c r="H73" s="48">
        <f t="shared" si="0"/>
        <v>748.8</v>
      </c>
      <c r="I73" s="3"/>
    </row>
    <row r="74" spans="1:10" ht="17.25" customHeight="1">
      <c r="A74" s="1"/>
      <c r="B74" s="17" t="s">
        <v>116</v>
      </c>
      <c r="C74" s="1" t="s">
        <v>20</v>
      </c>
      <c r="D74" s="30"/>
      <c r="E74" s="30"/>
      <c r="F74" s="30"/>
      <c r="G74" s="30">
        <v>6</v>
      </c>
      <c r="H74" s="48"/>
      <c r="I74" s="3"/>
    </row>
    <row r="75" spans="1:10" ht="17.25" customHeight="1">
      <c r="A75" s="1"/>
      <c r="B75" s="17" t="s">
        <v>54</v>
      </c>
      <c r="C75" s="1" t="s">
        <v>20</v>
      </c>
      <c r="D75" s="19">
        <v>1246</v>
      </c>
      <c r="E75" s="19">
        <v>1384</v>
      </c>
      <c r="F75" s="19">
        <v>1559</v>
      </c>
      <c r="G75" s="19"/>
      <c r="H75" s="48">
        <f t="shared" ref="H75:H94" si="34">IFERROR(G75/F75%,"")</f>
        <v>0</v>
      </c>
      <c r="I75" s="3"/>
      <c r="J75" s="67"/>
    </row>
    <row r="76" spans="1:10" ht="17.25" customHeight="1">
      <c r="A76" s="1"/>
      <c r="B76" s="17" t="s">
        <v>55</v>
      </c>
      <c r="C76" s="1" t="s">
        <v>6</v>
      </c>
      <c r="D76" s="30">
        <v>31.73</v>
      </c>
      <c r="E76" s="30">
        <v>35.65</v>
      </c>
      <c r="F76" s="30">
        <v>35</v>
      </c>
      <c r="G76" s="30"/>
      <c r="H76" s="48">
        <f t="shared" si="34"/>
        <v>0</v>
      </c>
      <c r="I76" s="3"/>
    </row>
    <row r="77" spans="1:10" ht="17.25" customHeight="1">
      <c r="A77" s="1"/>
      <c r="B77" s="17" t="s">
        <v>115</v>
      </c>
      <c r="C77" s="1" t="s">
        <v>47</v>
      </c>
      <c r="D77" s="19">
        <f t="shared" ref="D77:G77" si="35">D75*D76/10</f>
        <v>3953.558</v>
      </c>
      <c r="E77" s="19">
        <f t="shared" si="35"/>
        <v>4933.96</v>
      </c>
      <c r="F77" s="19">
        <f t="shared" si="35"/>
        <v>5456.5</v>
      </c>
      <c r="G77" s="66">
        <f t="shared" si="35"/>
        <v>0</v>
      </c>
      <c r="H77" s="48">
        <f t="shared" si="34"/>
        <v>0</v>
      </c>
      <c r="I77" s="3"/>
    </row>
    <row r="78" spans="1:10" s="15" customFormat="1" ht="17.25" customHeight="1">
      <c r="A78" s="8" t="s">
        <v>18</v>
      </c>
      <c r="B78" s="12" t="s">
        <v>197</v>
      </c>
      <c r="C78" s="8" t="s">
        <v>20</v>
      </c>
      <c r="D78" s="13">
        <v>7793.5</v>
      </c>
      <c r="E78" s="13">
        <f>D78+E79-E80</f>
        <v>7802.6</v>
      </c>
      <c r="F78" s="13">
        <f>E78+F79-F80</f>
        <v>7802.6</v>
      </c>
      <c r="G78" s="13">
        <f>E78+G79-G80</f>
        <v>7725.1</v>
      </c>
      <c r="H78" s="53">
        <f t="shared" si="34"/>
        <v>99.006741342629368</v>
      </c>
      <c r="I78" s="69"/>
    </row>
    <row r="79" spans="1:10" ht="17.25" customHeight="1">
      <c r="A79" s="1"/>
      <c r="B79" s="17" t="s">
        <v>53</v>
      </c>
      <c r="C79" s="1" t="s">
        <v>20</v>
      </c>
      <c r="D79" s="35">
        <v>0</v>
      </c>
      <c r="E79" s="25">
        <v>24.6</v>
      </c>
      <c r="F79" s="35"/>
      <c r="G79" s="35">
        <v>33.299999999999997</v>
      </c>
      <c r="H79" s="48" t="str">
        <f t="shared" si="34"/>
        <v/>
      </c>
      <c r="I79" s="3"/>
    </row>
    <row r="80" spans="1:10" ht="17.25" customHeight="1">
      <c r="A80" s="1"/>
      <c r="B80" s="17" t="s">
        <v>116</v>
      </c>
      <c r="C80" s="1" t="s">
        <v>20</v>
      </c>
      <c r="D80" s="25">
        <v>81.5</v>
      </c>
      <c r="E80" s="25">
        <v>15.5</v>
      </c>
      <c r="F80" s="35"/>
      <c r="G80" s="35">
        <v>110.8</v>
      </c>
      <c r="H80" s="48" t="str">
        <f t="shared" si="34"/>
        <v/>
      </c>
      <c r="I80" s="3"/>
    </row>
    <row r="81" spans="1:11" ht="17.25" customHeight="1">
      <c r="A81" s="1"/>
      <c r="B81" s="17" t="s">
        <v>54</v>
      </c>
      <c r="C81" s="1" t="s">
        <v>20</v>
      </c>
      <c r="D81" s="19">
        <v>4821</v>
      </c>
      <c r="E81" s="19">
        <v>5385</v>
      </c>
      <c r="F81" s="19">
        <v>5755</v>
      </c>
      <c r="G81" s="19">
        <v>5724</v>
      </c>
      <c r="H81" s="48">
        <f t="shared" si="34"/>
        <v>99.461337966985241</v>
      </c>
      <c r="I81" s="3"/>
    </row>
    <row r="82" spans="1:11" ht="17.25" customHeight="1">
      <c r="A82" s="1"/>
      <c r="B82" s="17" t="s">
        <v>56</v>
      </c>
      <c r="C82" s="1" t="s">
        <v>6</v>
      </c>
      <c r="D82" s="30">
        <v>12.33</v>
      </c>
      <c r="E82" s="30">
        <v>12.35</v>
      </c>
      <c r="F82" s="30">
        <v>12.5</v>
      </c>
      <c r="G82" s="30"/>
      <c r="H82" s="48">
        <f t="shared" si="34"/>
        <v>0</v>
      </c>
      <c r="I82" s="3"/>
    </row>
    <row r="83" spans="1:11" ht="17.25" customHeight="1">
      <c r="A83" s="1"/>
      <c r="B83" s="17" t="s">
        <v>225</v>
      </c>
      <c r="C83" s="1" t="s">
        <v>47</v>
      </c>
      <c r="D83" s="19">
        <f t="shared" ref="D83:G83" si="36">D81*D82/10</f>
        <v>5944.2929999999997</v>
      </c>
      <c r="E83" s="19">
        <f t="shared" si="36"/>
        <v>6650.4750000000004</v>
      </c>
      <c r="F83" s="19">
        <f t="shared" si="36"/>
        <v>7193.75</v>
      </c>
      <c r="G83" s="66">
        <f t="shared" si="36"/>
        <v>0</v>
      </c>
      <c r="H83" s="48">
        <f t="shared" si="34"/>
        <v>0</v>
      </c>
      <c r="I83" s="3"/>
    </row>
    <row r="84" spans="1:11" s="15" customFormat="1" ht="17.25" customHeight="1">
      <c r="A84" s="8">
        <v>2</v>
      </c>
      <c r="B84" s="12" t="s">
        <v>473</v>
      </c>
      <c r="C84" s="8" t="s">
        <v>20</v>
      </c>
      <c r="D84" s="13"/>
      <c r="E84" s="13"/>
      <c r="F84" s="13"/>
      <c r="G84" s="230">
        <v>108.1</v>
      </c>
      <c r="H84" s="53"/>
      <c r="I84" s="69"/>
    </row>
    <row r="85" spans="1:11" ht="17.25" customHeight="1">
      <c r="A85" s="8"/>
      <c r="B85" s="27" t="s">
        <v>53</v>
      </c>
      <c r="C85" s="1" t="s">
        <v>20</v>
      </c>
      <c r="D85" s="19"/>
      <c r="E85" s="19"/>
      <c r="F85" s="19"/>
      <c r="G85" s="66">
        <v>28.9</v>
      </c>
      <c r="H85" s="48"/>
      <c r="I85" s="3"/>
    </row>
    <row r="86" spans="1:11" ht="17.25" customHeight="1">
      <c r="A86" s="1"/>
      <c r="B86" s="29" t="s">
        <v>11</v>
      </c>
      <c r="C86" s="1" t="s">
        <v>6</v>
      </c>
      <c r="D86" s="19"/>
      <c r="E86" s="19"/>
      <c r="F86" s="19"/>
      <c r="G86" s="66"/>
      <c r="H86" s="48"/>
      <c r="I86" s="3"/>
    </row>
    <row r="87" spans="1:11" ht="17.25" customHeight="1">
      <c r="A87" s="1"/>
      <c r="B87" s="29" t="s">
        <v>12</v>
      </c>
      <c r="C87" s="1" t="s">
        <v>47</v>
      </c>
      <c r="D87" s="19"/>
      <c r="E87" s="19"/>
      <c r="F87" s="19"/>
      <c r="G87" s="66"/>
      <c r="H87" s="48"/>
      <c r="I87" s="3"/>
    </row>
    <row r="88" spans="1:11" s="15" customFormat="1" ht="17.25" customHeight="1">
      <c r="A88" s="8">
        <v>3</v>
      </c>
      <c r="B88" s="12" t="s">
        <v>78</v>
      </c>
      <c r="C88" s="8" t="s">
        <v>20</v>
      </c>
      <c r="D88" s="13">
        <v>155.19999999999999</v>
      </c>
      <c r="E88" s="13">
        <v>218.9</v>
      </c>
      <c r="F88" s="13">
        <v>220</v>
      </c>
      <c r="G88" s="13">
        <v>218.9</v>
      </c>
      <c r="H88" s="53">
        <f t="shared" si="34"/>
        <v>99.5</v>
      </c>
      <c r="I88" s="69"/>
    </row>
    <row r="89" spans="1:11" s="15" customFormat="1">
      <c r="A89" s="8">
        <v>4</v>
      </c>
      <c r="B89" s="12" t="s">
        <v>178</v>
      </c>
      <c r="C89" s="8" t="s">
        <v>20</v>
      </c>
      <c r="D89" s="13">
        <f t="shared" ref="D89:F89" si="37">SUM(D90:D94)</f>
        <v>121.5</v>
      </c>
      <c r="E89" s="13">
        <f t="shared" si="37"/>
        <v>130.60000000000002</v>
      </c>
      <c r="F89" s="13">
        <f t="shared" si="37"/>
        <v>130</v>
      </c>
      <c r="G89" s="13">
        <v>130</v>
      </c>
      <c r="H89" s="53">
        <f t="shared" si="34"/>
        <v>100</v>
      </c>
      <c r="I89" s="69"/>
      <c r="J89" s="73"/>
      <c r="K89" s="73"/>
    </row>
    <row r="90" spans="1:11" s="88" customFormat="1" ht="17.25" hidden="1" customHeight="1" outlineLevel="1">
      <c r="A90" s="84"/>
      <c r="B90" s="85" t="s">
        <v>173</v>
      </c>
      <c r="C90" s="84" t="s">
        <v>20</v>
      </c>
      <c r="D90" s="132">
        <v>18.5</v>
      </c>
      <c r="E90" s="132">
        <v>17</v>
      </c>
      <c r="F90" s="132">
        <v>17</v>
      </c>
      <c r="G90" s="132"/>
      <c r="H90" s="106">
        <f t="shared" si="34"/>
        <v>0</v>
      </c>
      <c r="I90" s="111"/>
    </row>
    <row r="91" spans="1:11" s="88" customFormat="1" ht="17.25" hidden="1" customHeight="1" outlineLevel="1">
      <c r="A91" s="84"/>
      <c r="B91" s="85" t="s">
        <v>174</v>
      </c>
      <c r="C91" s="84" t="s">
        <v>20</v>
      </c>
      <c r="D91" s="132">
        <v>54.6</v>
      </c>
      <c r="E91" s="132">
        <v>61.9</v>
      </c>
      <c r="F91" s="132">
        <v>62</v>
      </c>
      <c r="G91" s="132"/>
      <c r="H91" s="106">
        <f t="shared" si="34"/>
        <v>0</v>
      </c>
      <c r="I91" s="111"/>
    </row>
    <row r="92" spans="1:11" s="88" customFormat="1" ht="17.25" hidden="1" customHeight="1" outlineLevel="1">
      <c r="A92" s="84"/>
      <c r="B92" s="85" t="s">
        <v>175</v>
      </c>
      <c r="C92" s="84" t="s">
        <v>20</v>
      </c>
      <c r="D92" s="132">
        <v>2</v>
      </c>
      <c r="E92" s="132">
        <v>2</v>
      </c>
      <c r="F92" s="132">
        <v>2</v>
      </c>
      <c r="G92" s="132"/>
      <c r="H92" s="106">
        <f t="shared" si="34"/>
        <v>0</v>
      </c>
      <c r="I92" s="111"/>
    </row>
    <row r="93" spans="1:11" s="88" customFormat="1" ht="17.25" hidden="1" customHeight="1" outlineLevel="1">
      <c r="A93" s="84"/>
      <c r="B93" s="85" t="s">
        <v>176</v>
      </c>
      <c r="C93" s="84" t="s">
        <v>20</v>
      </c>
      <c r="D93" s="132">
        <v>46.4</v>
      </c>
      <c r="E93" s="132">
        <v>30.4</v>
      </c>
      <c r="F93" s="132">
        <v>30</v>
      </c>
      <c r="G93" s="132"/>
      <c r="H93" s="106">
        <f t="shared" si="34"/>
        <v>0</v>
      </c>
      <c r="I93" s="111"/>
    </row>
    <row r="94" spans="1:11" s="88" customFormat="1" ht="17.25" hidden="1" customHeight="1" outlineLevel="1">
      <c r="A94" s="84"/>
      <c r="B94" s="85" t="s">
        <v>177</v>
      </c>
      <c r="C94" s="84" t="s">
        <v>20</v>
      </c>
      <c r="D94" s="132"/>
      <c r="E94" s="132">
        <v>19.3</v>
      </c>
      <c r="F94" s="132">
        <v>19</v>
      </c>
      <c r="G94" s="132"/>
      <c r="H94" s="106">
        <f t="shared" si="34"/>
        <v>0</v>
      </c>
      <c r="I94" s="111"/>
    </row>
    <row r="95" spans="1:11" s="88" customFormat="1" ht="17.25" hidden="1" customHeight="1" outlineLevel="1">
      <c r="A95" s="84"/>
      <c r="B95" s="85" t="s">
        <v>249</v>
      </c>
      <c r="C95" s="84" t="s">
        <v>20</v>
      </c>
      <c r="D95" s="132"/>
      <c r="E95" s="132"/>
      <c r="F95" s="132"/>
      <c r="G95" s="132"/>
      <c r="H95" s="106"/>
      <c r="I95" s="111"/>
    </row>
    <row r="96" spans="1:11" ht="18.75" customHeight="1" collapsed="1">
      <c r="A96" s="8" t="s">
        <v>25</v>
      </c>
      <c r="B96" s="12" t="s">
        <v>48</v>
      </c>
      <c r="C96" s="1"/>
      <c r="D96" s="25"/>
      <c r="E96" s="30"/>
      <c r="F96" s="30"/>
      <c r="G96" s="30"/>
      <c r="H96" s="53" t="str">
        <f t="shared" ref="H96:H123" si="38">IFERROR(G96/F96%,"")</f>
        <v/>
      </c>
      <c r="I96" s="3"/>
    </row>
    <row r="97" spans="1:10" s="15" customFormat="1" ht="18.75" customHeight="1">
      <c r="A97" s="8">
        <v>1</v>
      </c>
      <c r="B97" s="12" t="s">
        <v>198</v>
      </c>
      <c r="C97" s="8" t="s">
        <v>31</v>
      </c>
      <c r="D97" s="24">
        <f>SUM(D98:D100)</f>
        <v>20219</v>
      </c>
      <c r="E97" s="24">
        <f t="shared" ref="E97:G97" si="39">SUM(E98:E100)</f>
        <v>18350</v>
      </c>
      <c r="F97" s="24">
        <f t="shared" si="39"/>
        <v>20650</v>
      </c>
      <c r="G97" s="24">
        <f t="shared" si="39"/>
        <v>17340</v>
      </c>
      <c r="H97" s="53">
        <f t="shared" si="38"/>
        <v>83.970944309927361</v>
      </c>
      <c r="I97" s="69"/>
    </row>
    <row r="98" spans="1:10" ht="18.75" customHeight="1">
      <c r="A98" s="1"/>
      <c r="B98" s="17" t="s">
        <v>117</v>
      </c>
      <c r="C98" s="1" t="s">
        <v>31</v>
      </c>
      <c r="D98" s="26">
        <v>2461</v>
      </c>
      <c r="E98" s="26">
        <v>2550</v>
      </c>
      <c r="F98" s="26">
        <v>2650</v>
      </c>
      <c r="G98" s="26">
        <v>2560</v>
      </c>
      <c r="H98" s="48">
        <f t="shared" si="38"/>
        <v>96.603773584905667</v>
      </c>
      <c r="I98" s="3"/>
    </row>
    <row r="99" spans="1:10" ht="18.75" customHeight="1">
      <c r="A99" s="1"/>
      <c r="B99" s="17" t="s">
        <v>118</v>
      </c>
      <c r="C99" s="1" t="s">
        <v>31</v>
      </c>
      <c r="D99" s="26">
        <v>4034</v>
      </c>
      <c r="E99" s="26">
        <v>4800</v>
      </c>
      <c r="F99" s="26">
        <v>5000</v>
      </c>
      <c r="G99" s="26">
        <v>5113</v>
      </c>
      <c r="H99" s="48">
        <f t="shared" si="38"/>
        <v>102.26</v>
      </c>
      <c r="I99" s="3"/>
    </row>
    <row r="100" spans="1:10" ht="18.75" customHeight="1">
      <c r="A100" s="1"/>
      <c r="B100" s="17" t="s">
        <v>119</v>
      </c>
      <c r="C100" s="1" t="s">
        <v>31</v>
      </c>
      <c r="D100" s="26">
        <v>13724</v>
      </c>
      <c r="E100" s="26">
        <v>11000</v>
      </c>
      <c r="F100" s="26">
        <v>13000</v>
      </c>
      <c r="G100" s="26">
        <v>9667</v>
      </c>
      <c r="H100" s="48">
        <f t="shared" si="38"/>
        <v>74.361538461538458</v>
      </c>
      <c r="I100" s="3"/>
    </row>
    <row r="101" spans="1:10" s="15" customFormat="1" ht="18.75" customHeight="1">
      <c r="A101" s="8">
        <v>2</v>
      </c>
      <c r="B101" s="36" t="s">
        <v>15</v>
      </c>
      <c r="C101" s="8" t="s">
        <v>31</v>
      </c>
      <c r="D101" s="24">
        <v>77894</v>
      </c>
      <c r="E101" s="24">
        <v>87000</v>
      </c>
      <c r="F101" s="24">
        <v>87000</v>
      </c>
      <c r="G101" s="24">
        <v>73600</v>
      </c>
      <c r="H101" s="53">
        <f t="shared" si="38"/>
        <v>84.597701149425291</v>
      </c>
      <c r="I101" s="69"/>
    </row>
    <row r="102" spans="1:10" s="15" customFormat="1" ht="18.75" customHeight="1">
      <c r="A102" s="8" t="s">
        <v>26</v>
      </c>
      <c r="B102" s="36" t="s">
        <v>120</v>
      </c>
      <c r="C102" s="8"/>
      <c r="D102" s="24"/>
      <c r="E102" s="24"/>
      <c r="F102" s="24"/>
      <c r="G102" s="24"/>
      <c r="H102" s="53" t="str">
        <f t="shared" si="38"/>
        <v/>
      </c>
      <c r="I102" s="69"/>
    </row>
    <row r="103" spans="1:10" ht="18.75" customHeight="1">
      <c r="A103" s="1">
        <v>1</v>
      </c>
      <c r="B103" s="29" t="s">
        <v>121</v>
      </c>
      <c r="C103" s="1" t="s">
        <v>20</v>
      </c>
      <c r="D103" s="25">
        <v>85</v>
      </c>
      <c r="E103" s="25">
        <v>85.5</v>
      </c>
      <c r="F103" s="25">
        <v>85.5</v>
      </c>
      <c r="G103" s="25">
        <v>89.1</v>
      </c>
      <c r="H103" s="48">
        <f t="shared" si="38"/>
        <v>104.21052631578947</v>
      </c>
      <c r="I103" s="3"/>
    </row>
    <row r="104" spans="1:10" ht="18.75" customHeight="1">
      <c r="A104" s="1">
        <v>2</v>
      </c>
      <c r="B104" s="29" t="s">
        <v>122</v>
      </c>
      <c r="C104" s="1" t="s">
        <v>47</v>
      </c>
      <c r="D104" s="26">
        <f t="shared" ref="D104:G104" si="40">D105+D106</f>
        <v>427.4</v>
      </c>
      <c r="E104" s="26">
        <f t="shared" si="40"/>
        <v>320</v>
      </c>
      <c r="F104" s="26">
        <f t="shared" si="40"/>
        <v>335</v>
      </c>
      <c r="G104" s="26">
        <f t="shared" si="40"/>
        <v>124</v>
      </c>
      <c r="H104" s="48">
        <f t="shared" si="38"/>
        <v>37.014925373134325</v>
      </c>
      <c r="I104" s="3"/>
    </row>
    <row r="105" spans="1:10" ht="18.75" customHeight="1">
      <c r="A105" s="1"/>
      <c r="B105" s="38" t="s">
        <v>123</v>
      </c>
      <c r="C105" s="1" t="s">
        <v>47</v>
      </c>
      <c r="D105" s="26">
        <v>211.9</v>
      </c>
      <c r="E105" s="26">
        <v>210</v>
      </c>
      <c r="F105" s="26">
        <v>210</v>
      </c>
      <c r="G105" s="26">
        <v>86.5</v>
      </c>
      <c r="H105" s="48">
        <f t="shared" si="38"/>
        <v>41.19047619047619</v>
      </c>
      <c r="I105" s="3"/>
    </row>
    <row r="106" spans="1:10" ht="18.75" customHeight="1">
      <c r="A106" s="1"/>
      <c r="B106" s="38" t="s">
        <v>124</v>
      </c>
      <c r="C106" s="1" t="s">
        <v>47</v>
      </c>
      <c r="D106" s="26">
        <v>215.5</v>
      </c>
      <c r="E106" s="26">
        <v>110</v>
      </c>
      <c r="F106" s="26">
        <v>125</v>
      </c>
      <c r="G106" s="26">
        <v>37.5</v>
      </c>
      <c r="H106" s="48">
        <f t="shared" si="38"/>
        <v>30</v>
      </c>
      <c r="I106" s="3"/>
    </row>
    <row r="107" spans="1:10">
      <c r="A107" s="39" t="s">
        <v>28</v>
      </c>
      <c r="B107" s="40" t="s">
        <v>49</v>
      </c>
      <c r="C107" s="39"/>
      <c r="D107" s="10"/>
      <c r="E107" s="10"/>
      <c r="F107" s="10"/>
      <c r="G107" s="10"/>
      <c r="H107" s="53" t="str">
        <f t="shared" si="38"/>
        <v/>
      </c>
      <c r="I107" s="3"/>
    </row>
    <row r="108" spans="1:10" ht="19.5" customHeight="1">
      <c r="A108" s="145">
        <v>1</v>
      </c>
      <c r="B108" s="42" t="s">
        <v>252</v>
      </c>
      <c r="C108" s="1" t="s">
        <v>20</v>
      </c>
      <c r="D108" s="43">
        <v>500.3</v>
      </c>
      <c r="E108" s="43">
        <v>4</v>
      </c>
      <c r="F108" s="43"/>
      <c r="G108" s="43"/>
      <c r="H108" s="53" t="str">
        <f t="shared" si="38"/>
        <v/>
      </c>
      <c r="I108" s="3"/>
    </row>
    <row r="109" spans="1:10" s="34" customFormat="1" ht="19.5" customHeight="1">
      <c r="A109" s="142"/>
      <c r="B109" s="143" t="s">
        <v>53</v>
      </c>
      <c r="C109" s="31" t="s">
        <v>20</v>
      </c>
      <c r="D109" s="144">
        <v>500.3</v>
      </c>
      <c r="E109" s="144">
        <v>4</v>
      </c>
      <c r="F109" s="144"/>
      <c r="G109" s="144"/>
      <c r="H109" s="134" t="str">
        <f t="shared" si="38"/>
        <v/>
      </c>
      <c r="I109" s="70"/>
    </row>
    <row r="110" spans="1:10" ht="17.25" customHeight="1">
      <c r="A110" s="1">
        <v>2</v>
      </c>
      <c r="B110" s="17" t="s">
        <v>14</v>
      </c>
      <c r="C110" s="1" t="s">
        <v>20</v>
      </c>
      <c r="D110" s="19">
        <v>1646</v>
      </c>
      <c r="E110" s="19">
        <f>D110+E111</f>
        <v>1675</v>
      </c>
      <c r="F110" s="19">
        <f>E110+F111</f>
        <v>1710</v>
      </c>
      <c r="G110" s="19">
        <f>E110+G111-G112</f>
        <v>1725</v>
      </c>
      <c r="H110" s="48">
        <f t="shared" si="38"/>
        <v>100.87719298245614</v>
      </c>
      <c r="I110" s="3"/>
      <c r="J110" s="67"/>
    </row>
    <row r="111" spans="1:10" ht="17.25" customHeight="1">
      <c r="A111" s="1"/>
      <c r="B111" s="17" t="s">
        <v>53</v>
      </c>
      <c r="C111" s="1" t="s">
        <v>20</v>
      </c>
      <c r="D111" s="19">
        <v>57.2</v>
      </c>
      <c r="E111" s="19">
        <v>29</v>
      </c>
      <c r="F111" s="19">
        <v>35</v>
      </c>
      <c r="G111" s="19">
        <v>54</v>
      </c>
      <c r="H111" s="48">
        <f t="shared" si="38"/>
        <v>154.28571428571431</v>
      </c>
      <c r="I111" s="3"/>
    </row>
    <row r="112" spans="1:10" ht="17.25" customHeight="1">
      <c r="A112" s="1"/>
      <c r="B112" s="17" t="s">
        <v>472</v>
      </c>
      <c r="C112" s="1" t="s">
        <v>20</v>
      </c>
      <c r="D112" s="19"/>
      <c r="E112" s="19"/>
      <c r="F112" s="19"/>
      <c r="G112" s="19">
        <v>4</v>
      </c>
      <c r="H112" s="48"/>
      <c r="I112" s="3"/>
    </row>
    <row r="113" spans="1:11" s="15" customFormat="1" ht="21.75" customHeight="1">
      <c r="A113" s="90" t="s">
        <v>76</v>
      </c>
      <c r="B113" s="107" t="s">
        <v>80</v>
      </c>
      <c r="C113" s="90"/>
      <c r="D113" s="108"/>
      <c r="E113" s="108"/>
      <c r="F113" s="108"/>
      <c r="G113" s="108"/>
      <c r="H113" s="94" t="str">
        <f t="shared" si="38"/>
        <v/>
      </c>
      <c r="I113" s="94"/>
    </row>
    <row r="114" spans="1:11" s="15" customFormat="1" ht="22.5" customHeight="1">
      <c r="A114" s="8">
        <v>1</v>
      </c>
      <c r="B114" s="44" t="s">
        <v>200</v>
      </c>
      <c r="C114" s="8" t="s">
        <v>126</v>
      </c>
      <c r="D114" s="24">
        <v>676693</v>
      </c>
      <c r="E114" s="24">
        <v>708000</v>
      </c>
      <c r="F114" s="24">
        <v>722000</v>
      </c>
      <c r="G114" s="24">
        <v>435000</v>
      </c>
      <c r="H114" s="53">
        <f t="shared" si="38"/>
        <v>60.249307479224377</v>
      </c>
      <c r="I114" s="69"/>
      <c r="J114" s="149"/>
      <c r="K114" s="149"/>
    </row>
    <row r="115" spans="1:11" s="15" customFormat="1" ht="20.25" customHeight="1">
      <c r="A115" s="8">
        <v>2</v>
      </c>
      <c r="B115" s="12" t="s">
        <v>128</v>
      </c>
      <c r="C115" s="8"/>
      <c r="D115" s="126"/>
      <c r="E115" s="126"/>
      <c r="F115" s="126"/>
      <c r="G115" s="126"/>
      <c r="H115" s="53" t="str">
        <f t="shared" si="38"/>
        <v/>
      </c>
      <c r="I115" s="69"/>
    </row>
    <row r="116" spans="1:11" ht="20.25" customHeight="1">
      <c r="A116" s="1"/>
      <c r="B116" s="17" t="s">
        <v>129</v>
      </c>
      <c r="C116" s="1" t="s">
        <v>40</v>
      </c>
      <c r="D116" s="26">
        <v>40</v>
      </c>
      <c r="E116" s="26">
        <v>42</v>
      </c>
      <c r="F116" s="26">
        <v>80</v>
      </c>
      <c r="G116" s="26">
        <v>55</v>
      </c>
      <c r="H116" s="48">
        <f t="shared" si="38"/>
        <v>68.75</v>
      </c>
      <c r="I116" s="3"/>
    </row>
    <row r="117" spans="1:11" ht="20.25" customHeight="1">
      <c r="A117" s="1"/>
      <c r="B117" s="17" t="s">
        <v>135</v>
      </c>
      <c r="C117" s="1" t="s">
        <v>40</v>
      </c>
      <c r="D117" s="26">
        <v>35</v>
      </c>
      <c r="E117" s="26">
        <v>30</v>
      </c>
      <c r="F117" s="26">
        <v>40</v>
      </c>
      <c r="G117" s="26"/>
      <c r="H117" s="48">
        <f t="shared" si="38"/>
        <v>0</v>
      </c>
      <c r="I117" s="3"/>
    </row>
    <row r="118" spans="1:11" ht="20.25" customHeight="1">
      <c r="A118" s="1"/>
      <c r="B118" s="17" t="s">
        <v>130</v>
      </c>
      <c r="C118" s="1" t="s">
        <v>47</v>
      </c>
      <c r="D118" s="26">
        <v>57219</v>
      </c>
      <c r="E118" s="26">
        <v>60000</v>
      </c>
      <c r="F118" s="26">
        <v>55000</v>
      </c>
      <c r="G118" s="26">
        <v>33292</v>
      </c>
      <c r="H118" s="48">
        <f t="shared" si="38"/>
        <v>60.530909090909091</v>
      </c>
      <c r="I118" s="3"/>
    </row>
    <row r="119" spans="1:11" ht="20.25" customHeight="1">
      <c r="A119" s="1"/>
      <c r="B119" s="17" t="s">
        <v>131</v>
      </c>
      <c r="C119" s="1" t="s">
        <v>47</v>
      </c>
      <c r="D119" s="26">
        <v>12363</v>
      </c>
      <c r="E119" s="26">
        <v>13000</v>
      </c>
      <c r="F119" s="26">
        <v>12000</v>
      </c>
      <c r="G119" s="26">
        <v>6786</v>
      </c>
      <c r="H119" s="48">
        <f t="shared" si="38"/>
        <v>56.55</v>
      </c>
      <c r="I119" s="3"/>
    </row>
    <row r="120" spans="1:11" ht="20.25" customHeight="1">
      <c r="A120" s="1"/>
      <c r="B120" s="17" t="s">
        <v>132</v>
      </c>
      <c r="C120" s="1" t="s">
        <v>217</v>
      </c>
      <c r="D120" s="26">
        <v>39713</v>
      </c>
      <c r="E120" s="26">
        <v>41000</v>
      </c>
      <c r="F120" s="26">
        <v>60000</v>
      </c>
      <c r="G120" s="26">
        <v>15900</v>
      </c>
      <c r="H120" s="48">
        <f t="shared" si="38"/>
        <v>26.5</v>
      </c>
      <c r="I120" s="3"/>
    </row>
    <row r="121" spans="1:11" ht="20.25" customHeight="1">
      <c r="A121" s="1"/>
      <c r="B121" s="17" t="s">
        <v>133</v>
      </c>
      <c r="C121" s="1" t="s">
        <v>217</v>
      </c>
      <c r="D121" s="26">
        <v>34500</v>
      </c>
      <c r="E121" s="26">
        <v>35000</v>
      </c>
      <c r="F121" s="26">
        <v>54000</v>
      </c>
      <c r="G121" s="26">
        <v>18500</v>
      </c>
      <c r="H121" s="48">
        <f t="shared" si="38"/>
        <v>34.25925925925926</v>
      </c>
      <c r="I121" s="3"/>
    </row>
    <row r="122" spans="1:11" s="15" customFormat="1">
      <c r="A122" s="90" t="s">
        <v>79</v>
      </c>
      <c r="B122" s="95" t="s">
        <v>201</v>
      </c>
      <c r="C122" s="90"/>
      <c r="D122" s="109"/>
      <c r="E122" s="109"/>
      <c r="F122" s="109"/>
      <c r="G122" s="109"/>
      <c r="H122" s="94" t="str">
        <f t="shared" si="38"/>
        <v/>
      </c>
      <c r="I122" s="94"/>
    </row>
    <row r="123" spans="1:11" ht="22.5" customHeight="1">
      <c r="A123" s="1">
        <v>1</v>
      </c>
      <c r="B123" s="17" t="s">
        <v>81</v>
      </c>
      <c r="C123" s="1" t="s">
        <v>126</v>
      </c>
      <c r="D123" s="26">
        <v>560310</v>
      </c>
      <c r="E123" s="26">
        <v>595000</v>
      </c>
      <c r="F123" s="26">
        <v>696000</v>
      </c>
      <c r="G123" s="26">
        <v>366000</v>
      </c>
      <c r="H123" s="48">
        <f t="shared" si="38"/>
        <v>52.586206896551722</v>
      </c>
      <c r="I123" s="3"/>
    </row>
    <row r="124" spans="1:11" s="15" customFormat="1" ht="22.5" hidden="1" customHeight="1" outlineLevel="1">
      <c r="A124" s="8">
        <v>2</v>
      </c>
      <c r="B124" s="44" t="s">
        <v>240</v>
      </c>
      <c r="C124" s="1"/>
      <c r="D124" s="24"/>
      <c r="E124" s="24"/>
      <c r="F124" s="24"/>
      <c r="G124" s="24"/>
      <c r="H124" s="53"/>
      <c r="I124" s="69"/>
    </row>
    <row r="125" spans="1:11" ht="22.5" hidden="1" customHeight="1" outlineLevel="1">
      <c r="A125" s="1"/>
      <c r="B125" s="38" t="s">
        <v>241</v>
      </c>
      <c r="C125" s="1" t="s">
        <v>245</v>
      </c>
      <c r="D125" s="26"/>
      <c r="E125" s="26"/>
      <c r="F125" s="26"/>
      <c r="G125" s="26"/>
      <c r="H125" s="48" t="str">
        <f t="shared" ref="H125:H153" si="41">IFERROR(G125/F125%,"")</f>
        <v/>
      </c>
      <c r="I125" s="3"/>
    </row>
    <row r="126" spans="1:11" ht="22.5" hidden="1" customHeight="1" outlineLevel="1">
      <c r="A126" s="1"/>
      <c r="B126" s="38" t="s">
        <v>242</v>
      </c>
      <c r="C126" s="1" t="s">
        <v>27</v>
      </c>
      <c r="D126" s="26"/>
      <c r="E126" s="26"/>
      <c r="F126" s="26"/>
      <c r="G126" s="26"/>
      <c r="H126" s="48" t="str">
        <f t="shared" si="41"/>
        <v/>
      </c>
      <c r="I126" s="3"/>
    </row>
    <row r="127" spans="1:11" ht="22.5" hidden="1" customHeight="1" outlineLevel="1">
      <c r="A127" s="1"/>
      <c r="B127" s="38" t="s">
        <v>243</v>
      </c>
      <c r="C127" s="1" t="s">
        <v>126</v>
      </c>
      <c r="D127" s="26"/>
      <c r="E127" s="26"/>
      <c r="F127" s="26"/>
      <c r="G127" s="26"/>
      <c r="H127" s="48" t="str">
        <f t="shared" si="41"/>
        <v/>
      </c>
      <c r="I127" s="3"/>
    </row>
    <row r="128" spans="1:11" ht="22.5" hidden="1" customHeight="1" outlineLevel="1">
      <c r="A128" s="1"/>
      <c r="B128" s="38" t="s">
        <v>244</v>
      </c>
      <c r="C128" s="1" t="s">
        <v>16</v>
      </c>
      <c r="D128" s="26"/>
      <c r="E128" s="26"/>
      <c r="F128" s="26"/>
      <c r="G128" s="26"/>
      <c r="H128" s="48" t="str">
        <f t="shared" si="41"/>
        <v/>
      </c>
      <c r="I128" s="3"/>
    </row>
    <row r="129" spans="1:11" ht="22.5" customHeight="1" collapsed="1">
      <c r="A129" s="84"/>
      <c r="B129" s="105" t="s">
        <v>205</v>
      </c>
      <c r="C129" s="84"/>
      <c r="D129" s="86"/>
      <c r="E129" s="86"/>
      <c r="F129" s="86"/>
      <c r="G129" s="86"/>
      <c r="H129" s="106" t="str">
        <f t="shared" si="41"/>
        <v/>
      </c>
      <c r="I129" s="3"/>
    </row>
    <row r="130" spans="1:11" s="15" customFormat="1" ht="22.5" customHeight="1">
      <c r="A130" s="90" t="s">
        <v>21</v>
      </c>
      <c r="B130" s="95" t="s">
        <v>147</v>
      </c>
      <c r="C130" s="90"/>
      <c r="D130" s="108"/>
      <c r="E130" s="108"/>
      <c r="F130" s="108"/>
      <c r="G130" s="108"/>
      <c r="H130" s="94" t="str">
        <f t="shared" si="41"/>
        <v/>
      </c>
      <c r="I130" s="112"/>
    </row>
    <row r="131" spans="1:11" s="88" customFormat="1" ht="22.5" hidden="1" customHeight="1" outlineLevel="1">
      <c r="A131" s="84">
        <v>1</v>
      </c>
      <c r="B131" s="85" t="s">
        <v>148</v>
      </c>
      <c r="C131" s="84" t="s">
        <v>38</v>
      </c>
      <c r="D131" s="130">
        <v>10520</v>
      </c>
      <c r="E131" s="130">
        <f>D132</f>
        <v>10685</v>
      </c>
      <c r="F131" s="130">
        <f>E132</f>
        <v>11120</v>
      </c>
      <c r="G131" s="130"/>
      <c r="H131" s="106">
        <f t="shared" si="41"/>
        <v>0</v>
      </c>
      <c r="I131" s="111"/>
      <c r="K131" s="131"/>
    </row>
    <row r="132" spans="1:11" s="88" customFormat="1" ht="22.5" hidden="1" customHeight="1" outlineLevel="1">
      <c r="A132" s="84">
        <v>2</v>
      </c>
      <c r="B132" s="85" t="s">
        <v>101</v>
      </c>
      <c r="C132" s="84" t="s">
        <v>38</v>
      </c>
      <c r="D132" s="130">
        <v>10685</v>
      </c>
      <c r="E132" s="130">
        <v>11120</v>
      </c>
      <c r="F132" s="130">
        <v>11380</v>
      </c>
      <c r="G132" s="130"/>
      <c r="H132" s="106">
        <f t="shared" si="41"/>
        <v>0</v>
      </c>
      <c r="I132" s="111"/>
      <c r="J132" s="131"/>
    </row>
    <row r="133" spans="1:11" ht="22.5" customHeight="1" collapsed="1">
      <c r="A133" s="1">
        <v>1</v>
      </c>
      <c r="B133" s="17" t="s">
        <v>58</v>
      </c>
      <c r="C133" s="1" t="s">
        <v>45</v>
      </c>
      <c r="D133" s="26">
        <v>44006</v>
      </c>
      <c r="E133" s="26">
        <f>D134</f>
        <v>45290</v>
      </c>
      <c r="F133" s="26">
        <f>E134</f>
        <v>46404</v>
      </c>
      <c r="G133" s="26"/>
      <c r="H133" s="48">
        <f t="shared" si="41"/>
        <v>0</v>
      </c>
      <c r="I133" s="3"/>
    </row>
    <row r="134" spans="1:11" ht="22.5" customHeight="1">
      <c r="A134" s="1">
        <v>2</v>
      </c>
      <c r="B134" s="17" t="s">
        <v>59</v>
      </c>
      <c r="C134" s="1" t="s">
        <v>45</v>
      </c>
      <c r="D134" s="26">
        <v>45290</v>
      </c>
      <c r="E134" s="26">
        <v>46404</v>
      </c>
      <c r="F134" s="26">
        <v>47500</v>
      </c>
      <c r="G134" s="26"/>
      <c r="H134" s="48">
        <f t="shared" si="41"/>
        <v>0</v>
      </c>
      <c r="I134" s="3"/>
    </row>
    <row r="135" spans="1:11" ht="22.5" customHeight="1">
      <c r="A135" s="1">
        <v>3</v>
      </c>
      <c r="B135" s="17" t="s">
        <v>134</v>
      </c>
      <c r="C135" s="1" t="s">
        <v>45</v>
      </c>
      <c r="D135" s="26">
        <f t="shared" ref="D135:F135" si="42">(D133+D134)/2</f>
        <v>44648</v>
      </c>
      <c r="E135" s="26">
        <f t="shared" si="42"/>
        <v>45847</v>
      </c>
      <c r="F135" s="26">
        <f t="shared" si="42"/>
        <v>46952</v>
      </c>
      <c r="G135" s="26"/>
      <c r="H135" s="48">
        <f t="shared" si="41"/>
        <v>0</v>
      </c>
      <c r="I135" s="3"/>
    </row>
    <row r="136" spans="1:11" ht="22.5" customHeight="1">
      <c r="A136" s="1">
        <v>4</v>
      </c>
      <c r="B136" s="38" t="s">
        <v>160</v>
      </c>
      <c r="C136" s="18" t="s">
        <v>70</v>
      </c>
      <c r="D136" s="61">
        <v>22.62</v>
      </c>
      <c r="E136" s="61">
        <v>22.92</v>
      </c>
      <c r="F136" s="61">
        <v>22</v>
      </c>
      <c r="G136" s="61"/>
      <c r="H136" s="53">
        <f t="shared" si="41"/>
        <v>0</v>
      </c>
      <c r="I136" s="3"/>
    </row>
    <row r="137" spans="1:11" s="15" customFormat="1" ht="21" customHeight="1">
      <c r="A137" s="90" t="s">
        <v>22</v>
      </c>
      <c r="B137" s="95" t="s">
        <v>66</v>
      </c>
      <c r="C137" s="90"/>
      <c r="D137" s="113"/>
      <c r="E137" s="113"/>
      <c r="F137" s="113"/>
      <c r="G137" s="113"/>
      <c r="H137" s="94" t="str">
        <f t="shared" si="41"/>
        <v/>
      </c>
      <c r="I137" s="112"/>
    </row>
    <row r="138" spans="1:11" ht="21" customHeight="1">
      <c r="A138" s="1">
        <v>1</v>
      </c>
      <c r="B138" s="17" t="s">
        <v>161</v>
      </c>
      <c r="C138" s="1" t="s">
        <v>16</v>
      </c>
      <c r="D138" s="48">
        <v>42.86</v>
      </c>
      <c r="E138" s="48">
        <v>43</v>
      </c>
      <c r="F138" s="48">
        <v>44</v>
      </c>
      <c r="G138" s="48"/>
      <c r="H138" s="48">
        <f t="shared" si="41"/>
        <v>0</v>
      </c>
      <c r="I138" s="3"/>
    </row>
    <row r="139" spans="1:11" ht="27.75" customHeight="1">
      <c r="A139" s="1"/>
      <c r="B139" s="17" t="s">
        <v>162</v>
      </c>
      <c r="C139" s="1" t="s">
        <v>16</v>
      </c>
      <c r="D139" s="48">
        <v>32</v>
      </c>
      <c r="E139" s="48">
        <v>35</v>
      </c>
      <c r="F139" s="48">
        <v>36</v>
      </c>
      <c r="G139" s="48"/>
      <c r="H139" s="48">
        <f t="shared" si="41"/>
        <v>0</v>
      </c>
      <c r="I139" s="3"/>
    </row>
    <row r="140" spans="1:11" ht="46.8">
      <c r="A140" s="1">
        <v>2</v>
      </c>
      <c r="B140" s="17" t="s">
        <v>152</v>
      </c>
      <c r="C140" s="1" t="s">
        <v>51</v>
      </c>
      <c r="D140" s="49">
        <f>174+50</f>
        <v>224</v>
      </c>
      <c r="E140" s="49">
        <v>175</v>
      </c>
      <c r="F140" s="49">
        <v>250</v>
      </c>
      <c r="G140" s="49"/>
      <c r="H140" s="48">
        <f t="shared" si="41"/>
        <v>0</v>
      </c>
      <c r="I140" s="3"/>
    </row>
    <row r="141" spans="1:11" ht="32.25" customHeight="1">
      <c r="A141" s="1"/>
      <c r="B141" s="17" t="s">
        <v>164</v>
      </c>
      <c r="C141" s="1" t="s">
        <v>165</v>
      </c>
      <c r="D141" s="17">
        <v>111</v>
      </c>
      <c r="E141" s="17">
        <v>115</v>
      </c>
      <c r="F141" s="17">
        <v>120</v>
      </c>
      <c r="G141" s="17"/>
      <c r="H141" s="48">
        <f t="shared" si="41"/>
        <v>0</v>
      </c>
      <c r="I141" s="3"/>
    </row>
    <row r="142" spans="1:11" ht="21" customHeight="1">
      <c r="A142" s="90" t="s">
        <v>263</v>
      </c>
      <c r="B142" s="95" t="s">
        <v>108</v>
      </c>
      <c r="C142" s="114"/>
      <c r="D142" s="115"/>
      <c r="E142" s="115"/>
      <c r="F142" s="115"/>
      <c r="G142" s="115"/>
      <c r="H142" s="94" t="str">
        <f t="shared" si="41"/>
        <v/>
      </c>
      <c r="I142" s="116"/>
    </row>
    <row r="143" spans="1:11" ht="37.5" customHeight="1">
      <c r="A143" s="50">
        <v>1</v>
      </c>
      <c r="B143" s="51" t="s">
        <v>150</v>
      </c>
      <c r="C143" s="1" t="s">
        <v>16</v>
      </c>
      <c r="D143" s="54" t="s">
        <v>153</v>
      </c>
      <c r="E143" s="74">
        <f>D144-E144</f>
        <v>3.1799999999999997</v>
      </c>
      <c r="F143" s="54" t="s">
        <v>156</v>
      </c>
      <c r="G143" s="74"/>
      <c r="H143" s="53" t="str">
        <f t="shared" si="41"/>
        <v/>
      </c>
      <c r="I143" s="3"/>
    </row>
    <row r="144" spans="1:11" ht="25.5" customHeight="1">
      <c r="A144" s="50">
        <v>2</v>
      </c>
      <c r="B144" s="51" t="s">
        <v>163</v>
      </c>
      <c r="C144" s="1" t="s">
        <v>16</v>
      </c>
      <c r="D144" s="66">
        <v>17.32</v>
      </c>
      <c r="E144" s="66">
        <v>14.14</v>
      </c>
      <c r="F144" s="66">
        <f>E144-3</f>
        <v>11.14</v>
      </c>
      <c r="G144" s="66"/>
      <c r="H144" s="48">
        <f t="shared" si="41"/>
        <v>0</v>
      </c>
      <c r="I144" s="3"/>
      <c r="J144" s="75"/>
    </row>
    <row r="145" spans="1:10" s="15" customFormat="1" ht="20.25" customHeight="1">
      <c r="A145" s="90" t="s">
        <v>26</v>
      </c>
      <c r="B145" s="95" t="s">
        <v>0</v>
      </c>
      <c r="C145" s="90"/>
      <c r="D145" s="108"/>
      <c r="E145" s="108"/>
      <c r="F145" s="108"/>
      <c r="G145" s="108"/>
      <c r="H145" s="94" t="str">
        <f t="shared" si="41"/>
        <v/>
      </c>
      <c r="I145" s="112"/>
    </row>
    <row r="146" spans="1:10" s="15" customFormat="1" ht="31.5" customHeight="1">
      <c r="A146" s="8">
        <v>1</v>
      </c>
      <c r="B146" s="12" t="s">
        <v>257</v>
      </c>
      <c r="C146" s="8" t="s">
        <v>1</v>
      </c>
      <c r="D146" s="24">
        <f>SUM(D147:D153)</f>
        <v>13999</v>
      </c>
      <c r="E146" s="24">
        <f>SUM(E147:E153)</f>
        <v>14102</v>
      </c>
      <c r="F146" s="24">
        <f>F147+F151+F152+F153</f>
        <v>14530</v>
      </c>
      <c r="G146" s="24">
        <f>G147+G151+G152+G153</f>
        <v>0</v>
      </c>
      <c r="H146" s="53">
        <f t="shared" si="41"/>
        <v>0</v>
      </c>
      <c r="I146" s="69"/>
    </row>
    <row r="147" spans="1:10" ht="21" customHeight="1">
      <c r="A147" s="1"/>
      <c r="B147" s="17" t="s">
        <v>83</v>
      </c>
      <c r="C147" s="1" t="s">
        <v>1</v>
      </c>
      <c r="D147" s="76">
        <v>4325</v>
      </c>
      <c r="E147" s="76">
        <v>4401</v>
      </c>
      <c r="F147" s="76">
        <f>F148+F150</f>
        <v>4430</v>
      </c>
      <c r="G147" s="76">
        <f>G148+G150</f>
        <v>0</v>
      </c>
      <c r="H147" s="48">
        <f t="shared" si="41"/>
        <v>0</v>
      </c>
      <c r="I147" s="3"/>
      <c r="J147" s="67"/>
    </row>
    <row r="148" spans="1:10" s="34" customFormat="1" ht="21" hidden="1" customHeight="1" outlineLevel="1">
      <c r="A148" s="31"/>
      <c r="B148" s="27" t="s">
        <v>167</v>
      </c>
      <c r="C148" s="1" t="s">
        <v>2</v>
      </c>
      <c r="D148" s="77"/>
      <c r="E148" s="77"/>
      <c r="F148" s="77">
        <v>450</v>
      </c>
      <c r="G148" s="77"/>
      <c r="H148" s="48">
        <f t="shared" si="41"/>
        <v>0</v>
      </c>
      <c r="I148" s="70"/>
      <c r="J148" s="68"/>
    </row>
    <row r="149" spans="1:10" s="34" customFormat="1" ht="21" hidden="1" customHeight="1" outlineLevel="1">
      <c r="A149" s="31"/>
      <c r="B149" s="27" t="s">
        <v>187</v>
      </c>
      <c r="C149" s="1" t="s">
        <v>2</v>
      </c>
      <c r="D149" s="77"/>
      <c r="E149" s="77"/>
      <c r="F149" s="77">
        <v>350</v>
      </c>
      <c r="G149" s="77"/>
      <c r="H149" s="48">
        <f t="shared" si="41"/>
        <v>0</v>
      </c>
      <c r="I149" s="70"/>
      <c r="J149" s="68"/>
    </row>
    <row r="150" spans="1:10" s="34" customFormat="1" ht="21" hidden="1" customHeight="1" outlineLevel="1">
      <c r="A150" s="31"/>
      <c r="B150" s="27" t="s">
        <v>85</v>
      </c>
      <c r="C150" s="1" t="s">
        <v>2</v>
      </c>
      <c r="D150" s="77"/>
      <c r="E150" s="77"/>
      <c r="F150" s="77">
        <v>3980</v>
      </c>
      <c r="G150" s="77"/>
      <c r="H150" s="48">
        <f t="shared" si="41"/>
        <v>0</v>
      </c>
      <c r="I150" s="70"/>
      <c r="J150" s="68"/>
    </row>
    <row r="151" spans="1:10" ht="21" customHeight="1" collapsed="1">
      <c r="A151" s="1"/>
      <c r="B151" s="17" t="s">
        <v>104</v>
      </c>
      <c r="C151" s="1" t="s">
        <v>1</v>
      </c>
      <c r="D151" s="76">
        <v>5412</v>
      </c>
      <c r="E151" s="76">
        <v>5400</v>
      </c>
      <c r="F151" s="76">
        <v>5700</v>
      </c>
      <c r="G151" s="76"/>
      <c r="H151" s="48">
        <f t="shared" si="41"/>
        <v>0</v>
      </c>
      <c r="I151" s="3"/>
      <c r="J151" s="67"/>
    </row>
    <row r="152" spans="1:10" ht="21" customHeight="1">
      <c r="A152" s="1"/>
      <c r="B152" s="17" t="s">
        <v>105</v>
      </c>
      <c r="C152" s="1" t="s">
        <v>1</v>
      </c>
      <c r="D152" s="76">
        <v>3521</v>
      </c>
      <c r="E152" s="76">
        <v>3560</v>
      </c>
      <c r="F152" s="76">
        <v>3570</v>
      </c>
      <c r="G152" s="76"/>
      <c r="H152" s="48">
        <f t="shared" si="41"/>
        <v>0</v>
      </c>
      <c r="I152" s="3"/>
    </row>
    <row r="153" spans="1:10" ht="21" customHeight="1">
      <c r="A153" s="1"/>
      <c r="B153" s="17" t="s">
        <v>137</v>
      </c>
      <c r="C153" s="1" t="s">
        <v>1</v>
      </c>
      <c r="D153" s="76">
        <v>741</v>
      </c>
      <c r="E153" s="76">
        <v>741</v>
      </c>
      <c r="F153" s="76">
        <v>830</v>
      </c>
      <c r="G153" s="76"/>
      <c r="H153" s="48">
        <f t="shared" si="41"/>
        <v>0</v>
      </c>
      <c r="I153" s="3"/>
    </row>
    <row r="154" spans="1:10" s="15" customFormat="1" ht="21" customHeight="1">
      <c r="A154" s="8">
        <v>2</v>
      </c>
      <c r="B154" s="12" t="s">
        <v>188</v>
      </c>
      <c r="C154" s="8"/>
      <c r="D154" s="146"/>
      <c r="E154" s="146"/>
      <c r="F154" s="146"/>
      <c r="G154" s="146"/>
      <c r="H154" s="53"/>
      <c r="I154" s="69"/>
    </row>
    <row r="155" spans="1:10" ht="21" customHeight="1">
      <c r="A155" s="1"/>
      <c r="B155" s="29" t="s">
        <v>36</v>
      </c>
      <c r="C155" s="1" t="s">
        <v>1</v>
      </c>
      <c r="D155" s="76"/>
      <c r="E155" s="76"/>
      <c r="F155" s="76">
        <v>60</v>
      </c>
      <c r="G155" s="76"/>
      <c r="H155" s="48">
        <f t="shared" ref="H155:H196" si="43">IFERROR(G155/F155%,"")</f>
        <v>0</v>
      </c>
      <c r="I155" s="3"/>
    </row>
    <row r="156" spans="1:10" ht="21" customHeight="1">
      <c r="A156" s="1"/>
      <c r="B156" s="29" t="s">
        <v>35</v>
      </c>
      <c r="C156" s="1" t="s">
        <v>1</v>
      </c>
      <c r="D156" s="76"/>
      <c r="E156" s="76"/>
      <c r="F156" s="76">
        <v>60</v>
      </c>
      <c r="G156" s="76"/>
      <c r="H156" s="48">
        <f t="shared" si="43"/>
        <v>0</v>
      </c>
      <c r="I156" s="3"/>
    </row>
    <row r="157" spans="1:10" s="139" customFormat="1" ht="22.5" hidden="1" customHeight="1" outlineLevel="1">
      <c r="A157" s="135">
        <v>3</v>
      </c>
      <c r="B157" s="136" t="s">
        <v>166</v>
      </c>
      <c r="C157" s="135"/>
      <c r="D157" s="137">
        <f t="shared" ref="D157:F157" si="44">SUM(D159:D163)</f>
        <v>37</v>
      </c>
      <c r="E157" s="137">
        <f t="shared" si="44"/>
        <v>38</v>
      </c>
      <c r="F157" s="137">
        <f t="shared" si="44"/>
        <v>38</v>
      </c>
      <c r="G157" s="137">
        <f t="shared" ref="G157" si="45">SUM(G159:G163)</f>
        <v>38</v>
      </c>
      <c r="H157" s="106">
        <f t="shared" si="43"/>
        <v>100</v>
      </c>
      <c r="I157" s="138"/>
    </row>
    <row r="158" spans="1:10" s="88" customFormat="1" ht="22.5" hidden="1" customHeight="1" outlineLevel="1">
      <c r="A158" s="84"/>
      <c r="B158" s="89" t="s">
        <v>136</v>
      </c>
      <c r="C158" s="84"/>
      <c r="D158" s="86"/>
      <c r="E158" s="86"/>
      <c r="F158" s="86"/>
      <c r="G158" s="86"/>
      <c r="H158" s="87" t="str">
        <f t="shared" si="43"/>
        <v/>
      </c>
      <c r="I158" s="111"/>
    </row>
    <row r="159" spans="1:10" s="88" customFormat="1" ht="22.5" hidden="1" customHeight="1" outlineLevel="1">
      <c r="A159" s="84"/>
      <c r="B159" s="85" t="s">
        <v>138</v>
      </c>
      <c r="C159" s="84" t="s">
        <v>62</v>
      </c>
      <c r="D159" s="86">
        <v>13</v>
      </c>
      <c r="E159" s="86">
        <v>13</v>
      </c>
      <c r="F159" s="86">
        <f>E159</f>
        <v>13</v>
      </c>
      <c r="G159" s="86">
        <f>E159</f>
        <v>13</v>
      </c>
      <c r="H159" s="87">
        <f t="shared" si="43"/>
        <v>100</v>
      </c>
      <c r="I159" s="111"/>
    </row>
    <row r="160" spans="1:10" s="88" customFormat="1" ht="22.5" hidden="1" customHeight="1" outlineLevel="1">
      <c r="A160" s="84"/>
      <c r="B160" s="85" t="s">
        <v>139</v>
      </c>
      <c r="C160" s="84" t="s">
        <v>62</v>
      </c>
      <c r="D160" s="86">
        <v>13</v>
      </c>
      <c r="E160" s="86">
        <v>14</v>
      </c>
      <c r="F160" s="86">
        <f>E160</f>
        <v>14</v>
      </c>
      <c r="G160" s="86">
        <f>E160</f>
        <v>14</v>
      </c>
      <c r="H160" s="87">
        <f t="shared" si="43"/>
        <v>99.999999999999986</v>
      </c>
      <c r="I160" s="111"/>
    </row>
    <row r="161" spans="1:9" s="88" customFormat="1" ht="22.5" hidden="1" customHeight="1" outlineLevel="1">
      <c r="A161" s="84"/>
      <c r="B161" s="85" t="s">
        <v>140</v>
      </c>
      <c r="C161" s="84" t="s">
        <v>62</v>
      </c>
      <c r="D161" s="86">
        <v>9</v>
      </c>
      <c r="E161" s="86">
        <v>9</v>
      </c>
      <c r="F161" s="86">
        <f>E161</f>
        <v>9</v>
      </c>
      <c r="G161" s="86">
        <f>E161</f>
        <v>9</v>
      </c>
      <c r="H161" s="87">
        <f t="shared" si="43"/>
        <v>100</v>
      </c>
      <c r="I161" s="111"/>
    </row>
    <row r="162" spans="1:9" s="88" customFormat="1" ht="22.5" hidden="1" customHeight="1" outlineLevel="1">
      <c r="A162" s="84"/>
      <c r="B162" s="85" t="s">
        <v>141</v>
      </c>
      <c r="C162" s="84" t="s">
        <v>62</v>
      </c>
      <c r="D162" s="86">
        <v>1</v>
      </c>
      <c r="E162" s="86">
        <v>1</v>
      </c>
      <c r="F162" s="86">
        <f>E162</f>
        <v>1</v>
      </c>
      <c r="G162" s="86">
        <f>E162</f>
        <v>1</v>
      </c>
      <c r="H162" s="87">
        <f t="shared" si="43"/>
        <v>100</v>
      </c>
      <c r="I162" s="111"/>
    </row>
    <row r="163" spans="1:9" s="88" customFormat="1" ht="22.5" hidden="1" customHeight="1" outlineLevel="1">
      <c r="A163" s="84"/>
      <c r="B163" s="85" t="s">
        <v>142</v>
      </c>
      <c r="C163" s="84" t="s">
        <v>62</v>
      </c>
      <c r="D163" s="86">
        <v>1</v>
      </c>
      <c r="E163" s="86">
        <v>1</v>
      </c>
      <c r="F163" s="86">
        <f>E163</f>
        <v>1</v>
      </c>
      <c r="G163" s="86">
        <f>E163</f>
        <v>1</v>
      </c>
      <c r="H163" s="87">
        <f t="shared" si="43"/>
        <v>100</v>
      </c>
      <c r="I163" s="111"/>
    </row>
    <row r="164" spans="1:9" s="139" customFormat="1" ht="22.5" hidden="1" customHeight="1" outlineLevel="1">
      <c r="A164" s="135">
        <v>4</v>
      </c>
      <c r="B164" s="136" t="s">
        <v>143</v>
      </c>
      <c r="C164" s="135" t="s">
        <v>62</v>
      </c>
      <c r="D164" s="137">
        <f t="shared" ref="D164:G164" si="46">SUM(D166:D170)</f>
        <v>20</v>
      </c>
      <c r="E164" s="137">
        <f t="shared" si="46"/>
        <v>22</v>
      </c>
      <c r="F164" s="137">
        <f t="shared" si="46"/>
        <v>25</v>
      </c>
      <c r="G164" s="137">
        <f t="shared" si="46"/>
        <v>0</v>
      </c>
      <c r="H164" s="106">
        <f t="shared" si="43"/>
        <v>0</v>
      </c>
      <c r="I164" s="138"/>
    </row>
    <row r="165" spans="1:9" s="88" customFormat="1" ht="22.5" hidden="1" customHeight="1" outlineLevel="1">
      <c r="A165" s="84"/>
      <c r="B165" s="89" t="s">
        <v>136</v>
      </c>
      <c r="C165" s="84"/>
      <c r="D165" s="86"/>
      <c r="E165" s="86"/>
      <c r="F165" s="86"/>
      <c r="G165" s="86"/>
      <c r="H165" s="87" t="str">
        <f t="shared" si="43"/>
        <v/>
      </c>
      <c r="I165" s="111"/>
    </row>
    <row r="166" spans="1:9" s="88" customFormat="1" ht="22.5" hidden="1" customHeight="1" outlineLevel="1">
      <c r="A166" s="84"/>
      <c r="B166" s="85" t="s">
        <v>138</v>
      </c>
      <c r="C166" s="84" t="s">
        <v>62</v>
      </c>
      <c r="D166" s="86">
        <v>5</v>
      </c>
      <c r="E166" s="86">
        <v>7</v>
      </c>
      <c r="F166" s="86">
        <v>8</v>
      </c>
      <c r="G166" s="86"/>
      <c r="H166" s="87">
        <f t="shared" si="43"/>
        <v>0</v>
      </c>
      <c r="I166" s="111"/>
    </row>
    <row r="167" spans="1:9" s="88" customFormat="1" ht="22.5" hidden="1" customHeight="1" outlineLevel="1">
      <c r="A167" s="84"/>
      <c r="B167" s="85" t="s">
        <v>139</v>
      </c>
      <c r="C167" s="84" t="s">
        <v>62</v>
      </c>
      <c r="D167" s="86">
        <v>9</v>
      </c>
      <c r="E167" s="86">
        <v>9</v>
      </c>
      <c r="F167" s="86">
        <v>10</v>
      </c>
      <c r="G167" s="86"/>
      <c r="H167" s="87">
        <f t="shared" si="43"/>
        <v>0</v>
      </c>
      <c r="I167" s="111"/>
    </row>
    <row r="168" spans="1:9" s="88" customFormat="1" ht="22.5" hidden="1" customHeight="1" outlineLevel="1">
      <c r="A168" s="84"/>
      <c r="B168" s="85" t="s">
        <v>140</v>
      </c>
      <c r="C168" s="84" t="s">
        <v>62</v>
      </c>
      <c r="D168" s="86">
        <v>4</v>
      </c>
      <c r="E168" s="86">
        <v>4</v>
      </c>
      <c r="F168" s="86">
        <v>5</v>
      </c>
      <c r="G168" s="86"/>
      <c r="H168" s="87">
        <f t="shared" si="43"/>
        <v>0</v>
      </c>
      <c r="I168" s="111"/>
    </row>
    <row r="169" spans="1:9" s="88" customFormat="1" ht="22.5" hidden="1" customHeight="1" outlineLevel="1">
      <c r="A169" s="84"/>
      <c r="B169" s="85" t="s">
        <v>141</v>
      </c>
      <c r="C169" s="84" t="s">
        <v>62</v>
      </c>
      <c r="D169" s="86">
        <v>1</v>
      </c>
      <c r="E169" s="86">
        <v>1</v>
      </c>
      <c r="F169" s="86">
        <v>1</v>
      </c>
      <c r="G169" s="86"/>
      <c r="H169" s="87">
        <f t="shared" si="43"/>
        <v>0</v>
      </c>
      <c r="I169" s="111"/>
    </row>
    <row r="170" spans="1:9" s="88" customFormat="1" ht="22.5" hidden="1" customHeight="1" outlineLevel="1">
      <c r="A170" s="84"/>
      <c r="B170" s="85" t="s">
        <v>142</v>
      </c>
      <c r="C170" s="84" t="s">
        <v>62</v>
      </c>
      <c r="D170" s="86">
        <v>1</v>
      </c>
      <c r="E170" s="86">
        <v>1</v>
      </c>
      <c r="F170" s="86">
        <v>1</v>
      </c>
      <c r="G170" s="86"/>
      <c r="H170" s="87">
        <f t="shared" si="43"/>
        <v>0</v>
      </c>
      <c r="I170" s="111"/>
    </row>
    <row r="171" spans="1:9" s="15" customFormat="1" ht="22.5" customHeight="1" collapsed="1">
      <c r="A171" s="8">
        <v>3</v>
      </c>
      <c r="B171" s="12" t="s">
        <v>63</v>
      </c>
      <c r="C171" s="8" t="s">
        <v>16</v>
      </c>
      <c r="D171" s="140">
        <f t="shared" ref="D171:G171" si="47">D164/D157%</f>
        <v>54.054054054054056</v>
      </c>
      <c r="E171" s="140">
        <f t="shared" si="47"/>
        <v>57.89473684210526</v>
      </c>
      <c r="F171" s="140">
        <f t="shared" si="47"/>
        <v>65.78947368421052</v>
      </c>
      <c r="G171" s="140">
        <f t="shared" si="47"/>
        <v>0</v>
      </c>
      <c r="H171" s="53">
        <f t="shared" si="43"/>
        <v>0</v>
      </c>
      <c r="I171" s="69"/>
    </row>
    <row r="172" spans="1:9" ht="22.5" hidden="1" customHeight="1" outlineLevel="1">
      <c r="A172" s="1"/>
      <c r="B172" s="27" t="s">
        <v>136</v>
      </c>
      <c r="C172" s="1"/>
      <c r="D172" s="45"/>
      <c r="E172" s="45"/>
      <c r="F172" s="45"/>
      <c r="G172" s="45"/>
      <c r="H172" s="53" t="str">
        <f t="shared" si="43"/>
        <v/>
      </c>
      <c r="I172" s="3"/>
    </row>
    <row r="173" spans="1:9" ht="22.5" hidden="1" customHeight="1" outlineLevel="1">
      <c r="A173" s="1"/>
      <c r="B173" s="17" t="s">
        <v>138</v>
      </c>
      <c r="C173" s="1" t="s">
        <v>16</v>
      </c>
      <c r="D173" s="45">
        <f t="shared" ref="D173:G177" si="48">D166/D159%</f>
        <v>38.46153846153846</v>
      </c>
      <c r="E173" s="45">
        <f t="shared" si="48"/>
        <v>53.846153846153847</v>
      </c>
      <c r="F173" s="45">
        <f t="shared" si="48"/>
        <v>61.538461538461533</v>
      </c>
      <c r="G173" s="45">
        <f t="shared" si="48"/>
        <v>0</v>
      </c>
      <c r="H173" s="48">
        <f t="shared" si="43"/>
        <v>0</v>
      </c>
      <c r="I173" s="3"/>
    </row>
    <row r="174" spans="1:9" ht="22.5" hidden="1" customHeight="1" outlineLevel="1">
      <c r="A174" s="1"/>
      <c r="B174" s="17" t="s">
        <v>139</v>
      </c>
      <c r="C174" s="1" t="s">
        <v>16</v>
      </c>
      <c r="D174" s="45">
        <f t="shared" si="48"/>
        <v>69.230769230769226</v>
      </c>
      <c r="E174" s="45">
        <f t="shared" si="48"/>
        <v>64.285714285714278</v>
      </c>
      <c r="F174" s="45">
        <f t="shared" si="48"/>
        <v>71.428571428571416</v>
      </c>
      <c r="G174" s="45">
        <f t="shared" si="48"/>
        <v>0</v>
      </c>
      <c r="H174" s="48">
        <f t="shared" si="43"/>
        <v>0</v>
      </c>
      <c r="I174" s="3"/>
    </row>
    <row r="175" spans="1:9" ht="22.5" hidden="1" customHeight="1" outlineLevel="1">
      <c r="A175" s="1"/>
      <c r="B175" s="17" t="s">
        <v>140</v>
      </c>
      <c r="C175" s="1" t="s">
        <v>16</v>
      </c>
      <c r="D175" s="45">
        <f t="shared" si="48"/>
        <v>44.444444444444443</v>
      </c>
      <c r="E175" s="45">
        <f t="shared" si="48"/>
        <v>44.444444444444443</v>
      </c>
      <c r="F175" s="45">
        <f t="shared" si="48"/>
        <v>55.555555555555557</v>
      </c>
      <c r="G175" s="45">
        <f t="shared" si="48"/>
        <v>0</v>
      </c>
      <c r="H175" s="48">
        <f t="shared" si="43"/>
        <v>0</v>
      </c>
      <c r="I175" s="3"/>
    </row>
    <row r="176" spans="1:9" ht="22.5" hidden="1" customHeight="1" outlineLevel="1">
      <c r="A176" s="1"/>
      <c r="B176" s="17" t="s">
        <v>141</v>
      </c>
      <c r="C176" s="1" t="s">
        <v>16</v>
      </c>
      <c r="D176" s="45">
        <f t="shared" si="48"/>
        <v>100</v>
      </c>
      <c r="E176" s="45">
        <f t="shared" si="48"/>
        <v>100</v>
      </c>
      <c r="F176" s="45">
        <f t="shared" si="48"/>
        <v>100</v>
      </c>
      <c r="G176" s="45">
        <f t="shared" si="48"/>
        <v>0</v>
      </c>
      <c r="H176" s="48">
        <f t="shared" si="43"/>
        <v>0</v>
      </c>
      <c r="I176" s="3"/>
    </row>
    <row r="177" spans="1:9" ht="22.5" hidden="1" customHeight="1" outlineLevel="1">
      <c r="A177" s="1"/>
      <c r="B177" s="17" t="s">
        <v>142</v>
      </c>
      <c r="C177" s="1" t="s">
        <v>16</v>
      </c>
      <c r="D177" s="45">
        <f t="shared" si="48"/>
        <v>100</v>
      </c>
      <c r="E177" s="45">
        <f t="shared" si="48"/>
        <v>100</v>
      </c>
      <c r="F177" s="45">
        <f t="shared" si="48"/>
        <v>100</v>
      </c>
      <c r="G177" s="45">
        <f t="shared" si="48"/>
        <v>0</v>
      </c>
      <c r="H177" s="48">
        <f t="shared" si="43"/>
        <v>0</v>
      </c>
      <c r="I177" s="3"/>
    </row>
    <row r="178" spans="1:9" ht="22.5" customHeight="1" collapsed="1">
      <c r="A178" s="90" t="s">
        <v>29</v>
      </c>
      <c r="B178" s="95" t="s">
        <v>145</v>
      </c>
      <c r="C178" s="114"/>
      <c r="D178" s="117"/>
      <c r="E178" s="117"/>
      <c r="F178" s="117"/>
      <c r="G178" s="117"/>
      <c r="H178" s="94" t="str">
        <f t="shared" si="43"/>
        <v/>
      </c>
      <c r="I178" s="116"/>
    </row>
    <row r="179" spans="1:9" ht="22.5" customHeight="1">
      <c r="A179" s="1">
        <v>1</v>
      </c>
      <c r="B179" s="17" t="s">
        <v>146</v>
      </c>
      <c r="C179" s="1" t="s">
        <v>64</v>
      </c>
      <c r="D179" s="10">
        <v>130</v>
      </c>
      <c r="E179" s="10">
        <v>130</v>
      </c>
      <c r="F179" s="10">
        <v>135</v>
      </c>
      <c r="G179" s="10">
        <v>130</v>
      </c>
      <c r="H179" s="48">
        <f t="shared" si="43"/>
        <v>96.296296296296291</v>
      </c>
      <c r="I179" s="3"/>
    </row>
    <row r="180" spans="1:9" ht="24" customHeight="1">
      <c r="A180" s="1">
        <v>2</v>
      </c>
      <c r="B180" s="17" t="s">
        <v>202</v>
      </c>
      <c r="C180" s="1" t="s">
        <v>144</v>
      </c>
      <c r="D180" s="10">
        <v>2</v>
      </c>
      <c r="E180" s="10">
        <v>6</v>
      </c>
      <c r="F180" s="10">
        <v>7</v>
      </c>
      <c r="G180" s="10">
        <v>4</v>
      </c>
      <c r="H180" s="48">
        <f t="shared" si="43"/>
        <v>57.142857142857139</v>
      </c>
      <c r="I180" s="3"/>
    </row>
    <row r="181" spans="1:9" ht="25.5" customHeight="1">
      <c r="A181" s="1"/>
      <c r="B181" s="37" t="s">
        <v>203</v>
      </c>
      <c r="C181" s="1" t="s">
        <v>16</v>
      </c>
      <c r="D181" s="45">
        <f t="shared" ref="D181:G181" si="49">D180/9%</f>
        <v>22.222222222222221</v>
      </c>
      <c r="E181" s="45">
        <f t="shared" si="49"/>
        <v>66.666666666666671</v>
      </c>
      <c r="F181" s="45">
        <f t="shared" si="49"/>
        <v>77.777777777777786</v>
      </c>
      <c r="G181" s="45">
        <f t="shared" si="49"/>
        <v>44.444444444444443</v>
      </c>
      <c r="H181" s="48">
        <f t="shared" si="43"/>
        <v>57.142857142857132</v>
      </c>
      <c r="I181" s="3"/>
    </row>
    <row r="182" spans="1:9" ht="21.75" customHeight="1">
      <c r="A182" s="1">
        <v>3</v>
      </c>
      <c r="B182" s="29" t="s">
        <v>82</v>
      </c>
      <c r="C182" s="1" t="s">
        <v>16</v>
      </c>
      <c r="D182" s="45">
        <v>83.5</v>
      </c>
      <c r="E182" s="45">
        <v>87</v>
      </c>
      <c r="F182" s="45">
        <v>90</v>
      </c>
      <c r="G182" s="45"/>
      <c r="H182" s="53">
        <f t="shared" si="43"/>
        <v>0</v>
      </c>
      <c r="I182" s="3"/>
    </row>
    <row r="183" spans="1:9" ht="31.2">
      <c r="A183" s="1">
        <v>4</v>
      </c>
      <c r="B183" s="29" t="s">
        <v>180</v>
      </c>
      <c r="C183" s="1" t="s">
        <v>16</v>
      </c>
      <c r="D183" s="61">
        <v>33.1</v>
      </c>
      <c r="E183" s="45">
        <v>31.8</v>
      </c>
      <c r="F183" s="45">
        <v>31.3</v>
      </c>
      <c r="G183" s="45"/>
      <c r="H183" s="53">
        <f t="shared" si="43"/>
        <v>0</v>
      </c>
      <c r="I183" s="3"/>
    </row>
    <row r="184" spans="1:9" ht="31.2">
      <c r="A184" s="1">
        <v>5</v>
      </c>
      <c r="B184" s="29" t="s">
        <v>181</v>
      </c>
      <c r="C184" s="1" t="s">
        <v>16</v>
      </c>
      <c r="D184" s="61">
        <v>20.6</v>
      </c>
      <c r="E184" s="45">
        <v>20</v>
      </c>
      <c r="F184" s="45">
        <v>19.5</v>
      </c>
      <c r="G184" s="45"/>
      <c r="H184" s="53">
        <f t="shared" si="43"/>
        <v>0</v>
      </c>
      <c r="I184" s="3"/>
    </row>
    <row r="185" spans="1:9" ht="31.2">
      <c r="A185" s="90" t="s">
        <v>39</v>
      </c>
      <c r="B185" s="91" t="s">
        <v>86</v>
      </c>
      <c r="C185" s="92"/>
      <c r="D185" s="117"/>
      <c r="E185" s="117"/>
      <c r="F185" s="117"/>
      <c r="G185" s="117"/>
      <c r="H185" s="94" t="str">
        <f t="shared" si="43"/>
        <v/>
      </c>
      <c r="I185" s="116"/>
    </row>
    <row r="186" spans="1:9" ht="22.5" customHeight="1">
      <c r="A186" s="8">
        <v>1</v>
      </c>
      <c r="B186" s="44" t="s">
        <v>87</v>
      </c>
      <c r="C186" s="9"/>
      <c r="D186" s="10"/>
      <c r="E186" s="10"/>
      <c r="F186" s="10"/>
      <c r="G186" s="10"/>
      <c r="H186" s="53" t="str">
        <f t="shared" si="43"/>
        <v/>
      </c>
      <c r="I186" s="3"/>
    </row>
    <row r="187" spans="1:9" ht="22.5" customHeight="1">
      <c r="A187" s="16"/>
      <c r="B187" s="38" t="s">
        <v>88</v>
      </c>
      <c r="C187" s="18" t="s">
        <v>3</v>
      </c>
      <c r="D187" s="49">
        <v>1560</v>
      </c>
      <c r="E187" s="49">
        <v>1560</v>
      </c>
      <c r="F187" s="49">
        <f>E187</f>
        <v>1560</v>
      </c>
      <c r="G187" s="49"/>
      <c r="H187" s="48">
        <f t="shared" si="43"/>
        <v>0</v>
      </c>
      <c r="I187" s="3"/>
    </row>
    <row r="188" spans="1:9" ht="22.5" customHeight="1">
      <c r="A188" s="16"/>
      <c r="B188" s="38" t="s">
        <v>89</v>
      </c>
      <c r="C188" s="18" t="s">
        <v>3</v>
      </c>
      <c r="D188" s="49">
        <v>21800</v>
      </c>
      <c r="E188" s="49">
        <v>21800</v>
      </c>
      <c r="F188" s="49">
        <f>E188</f>
        <v>21800</v>
      </c>
      <c r="G188" s="49"/>
      <c r="H188" s="48">
        <f t="shared" si="43"/>
        <v>0</v>
      </c>
      <c r="I188" s="3"/>
    </row>
    <row r="189" spans="1:9" ht="22.5" hidden="1" customHeight="1" outlineLevel="1">
      <c r="A189" s="8">
        <v>2</v>
      </c>
      <c r="B189" s="44" t="s">
        <v>90</v>
      </c>
      <c r="C189" s="18"/>
      <c r="D189" s="49"/>
      <c r="E189" s="49"/>
      <c r="F189" s="49"/>
      <c r="G189" s="49"/>
      <c r="H189" s="53" t="str">
        <f t="shared" si="43"/>
        <v/>
      </c>
      <c r="I189" s="3"/>
    </row>
    <row r="190" spans="1:9" ht="22.5" hidden="1" customHeight="1" outlineLevel="1">
      <c r="A190" s="1"/>
      <c r="B190" s="38" t="s">
        <v>92</v>
      </c>
      <c r="C190" s="18" t="s">
        <v>93</v>
      </c>
      <c r="D190" s="49">
        <v>9233</v>
      </c>
      <c r="E190" s="49">
        <v>10000</v>
      </c>
      <c r="F190" s="49">
        <v>10250</v>
      </c>
      <c r="G190" s="49"/>
      <c r="H190" s="53">
        <f t="shared" si="43"/>
        <v>0</v>
      </c>
      <c r="I190" s="3"/>
    </row>
    <row r="191" spans="1:9" ht="22.5" hidden="1" customHeight="1" outlineLevel="1">
      <c r="A191" s="1" t="s">
        <v>91</v>
      </c>
      <c r="B191" s="38" t="s">
        <v>94</v>
      </c>
      <c r="C191" s="33" t="s">
        <v>16</v>
      </c>
      <c r="D191" s="49">
        <v>85.6</v>
      </c>
      <c r="E191" s="49">
        <f>E190/E132%</f>
        <v>89.928057553956833</v>
      </c>
      <c r="F191" s="49">
        <f>F190/F132%</f>
        <v>90.070298769771526</v>
      </c>
      <c r="G191" s="49"/>
      <c r="H191" s="48">
        <f t="shared" si="43"/>
        <v>0</v>
      </c>
      <c r="I191" s="3"/>
    </row>
    <row r="192" spans="1:9" ht="22.5" hidden="1" customHeight="1" outlineLevel="1">
      <c r="A192" s="1"/>
      <c r="B192" s="38" t="s">
        <v>96</v>
      </c>
      <c r="C192" s="18" t="s">
        <v>97</v>
      </c>
      <c r="D192" s="5">
        <v>58</v>
      </c>
      <c r="E192" s="5">
        <v>61</v>
      </c>
      <c r="F192" s="5">
        <v>61</v>
      </c>
      <c r="G192" s="5"/>
      <c r="H192" s="48">
        <f t="shared" si="43"/>
        <v>0</v>
      </c>
      <c r="I192" s="3"/>
    </row>
    <row r="193" spans="1:9" ht="22.5" hidden="1" customHeight="1" outlineLevel="1">
      <c r="A193" s="1" t="s">
        <v>95</v>
      </c>
      <c r="B193" s="38" t="s">
        <v>71</v>
      </c>
      <c r="C193" s="33" t="s">
        <v>16</v>
      </c>
      <c r="D193" s="49">
        <f>D192/67%</f>
        <v>86.567164179104466</v>
      </c>
      <c r="E193" s="49">
        <f>E192/67%</f>
        <v>91.044776119402982</v>
      </c>
      <c r="F193" s="49">
        <f>F192/67%</f>
        <v>91.044776119402982</v>
      </c>
      <c r="G193" s="49"/>
      <c r="H193" s="48">
        <f t="shared" si="43"/>
        <v>0</v>
      </c>
      <c r="I193" s="3"/>
    </row>
    <row r="194" spans="1:9" ht="22.5" hidden="1" customHeight="1" outlineLevel="1">
      <c r="A194" s="1" t="s">
        <v>98</v>
      </c>
      <c r="B194" s="38" t="s">
        <v>99</v>
      </c>
      <c r="C194" s="18" t="s">
        <v>100</v>
      </c>
      <c r="D194" s="49">
        <v>88</v>
      </c>
      <c r="E194" s="49">
        <v>90</v>
      </c>
      <c r="F194" s="49">
        <v>90</v>
      </c>
      <c r="G194" s="49"/>
      <c r="H194" s="48">
        <f t="shared" si="43"/>
        <v>0</v>
      </c>
      <c r="I194" s="3"/>
    </row>
    <row r="195" spans="1:9" ht="22.5" hidden="1" customHeight="1" outlineLevel="1">
      <c r="A195" s="1" t="s">
        <v>149</v>
      </c>
      <c r="B195" s="17" t="s">
        <v>151</v>
      </c>
      <c r="C195" s="1" t="s">
        <v>37</v>
      </c>
      <c r="D195" s="49">
        <v>4</v>
      </c>
      <c r="E195" s="49">
        <v>4</v>
      </c>
      <c r="F195" s="49">
        <v>4</v>
      </c>
      <c r="G195" s="49">
        <v>4</v>
      </c>
      <c r="H195" s="48">
        <f t="shared" si="43"/>
        <v>100</v>
      </c>
      <c r="I195" s="3"/>
    </row>
    <row r="196" spans="1:9" ht="36.75" hidden="1" customHeight="1" outlineLevel="1">
      <c r="A196" s="84"/>
      <c r="B196" s="105" t="s">
        <v>253</v>
      </c>
      <c r="C196" s="84"/>
      <c r="D196" s="86"/>
      <c r="E196" s="86"/>
      <c r="F196" s="86"/>
      <c r="G196" s="86"/>
      <c r="H196" s="106" t="str">
        <f t="shared" si="43"/>
        <v/>
      </c>
      <c r="I196" s="3"/>
    </row>
    <row r="197" spans="1:9" ht="23.25" hidden="1" customHeight="1" outlineLevel="1">
      <c r="A197" s="1">
        <v>1</v>
      </c>
      <c r="B197" s="17" t="s">
        <v>110</v>
      </c>
      <c r="C197" s="1" t="s">
        <v>16</v>
      </c>
      <c r="D197" s="17"/>
      <c r="E197" s="17"/>
      <c r="F197" s="17">
        <v>100</v>
      </c>
      <c r="G197" s="17"/>
      <c r="H197" s="17"/>
      <c r="I197" s="17"/>
    </row>
    <row r="198" spans="1:9" ht="15" customHeight="1" collapsed="1">
      <c r="A198" s="81"/>
      <c r="B198" s="82"/>
      <c r="C198" s="81"/>
      <c r="D198" s="82"/>
      <c r="E198" s="82"/>
      <c r="F198" s="82"/>
      <c r="G198" s="82"/>
      <c r="H198" s="82"/>
      <c r="I198" s="82"/>
    </row>
    <row r="199" spans="1:9">
      <c r="A199" s="78"/>
      <c r="B199" s="46"/>
      <c r="C199" s="78"/>
      <c r="D199" s="46"/>
      <c r="E199" s="46"/>
      <c r="F199" s="46"/>
      <c r="G199" s="46"/>
      <c r="H199" s="46"/>
      <c r="I199" s="46"/>
    </row>
    <row r="200" spans="1:9">
      <c r="A200" s="78"/>
      <c r="B200" s="46"/>
      <c r="C200" s="78"/>
      <c r="D200" s="46"/>
      <c r="E200" s="46"/>
      <c r="F200" s="46"/>
      <c r="G200" s="46"/>
      <c r="H200" s="46"/>
      <c r="I200" s="46"/>
    </row>
  </sheetData>
  <mergeCells count="12">
    <mergeCell ref="H5:H6"/>
    <mergeCell ref="I5:I6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</mergeCells>
  <pageMargins left="0.47244094488188981" right="0.39370078740157483" top="0.59055118110236227" bottom="0.47244094488188981" header="0.31496062992125984" footer="0.31496062992125984"/>
  <pageSetup paperSize="9" scale="87" fitToHeight="0" orientation="portrait" r:id="rId1"/>
  <headerFooter>
    <oddFooter>&amp;R&amp;"Times New Roman,Regular"&amp;P/&amp;N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  <pageSetUpPr fitToPage="1"/>
  </sheetPr>
  <dimension ref="A1:L200"/>
  <sheetViews>
    <sheetView zoomScale="85" zoomScaleNormal="85" zoomScaleSheetLayoutView="85" workbookViewId="0">
      <pane xSplit="2" ySplit="8" topLeftCell="C9" activePane="bottomRight" state="frozen"/>
      <selection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9.109375" defaultRowHeight="15.6" outlineLevelRow="1" outlineLevelCol="1"/>
  <cols>
    <col min="1" max="1" width="5.5546875" style="6" customWidth="1"/>
    <col min="2" max="2" width="39.109375" style="2" customWidth="1"/>
    <col min="3" max="3" width="12.109375" style="6" customWidth="1"/>
    <col min="4" max="5" width="12.109375" style="2" hidden="1" customWidth="1" outlineLevel="1"/>
    <col min="6" max="6" width="12.109375" style="2" customWidth="1" collapsed="1"/>
    <col min="7" max="10" width="12.109375" style="2" customWidth="1"/>
    <col min="11" max="11" width="11.6640625" style="2" customWidth="1"/>
    <col min="12" max="12" width="10" style="2" bestFit="1" customWidth="1"/>
    <col min="13" max="16384" width="9.109375" style="2"/>
  </cols>
  <sheetData>
    <row r="1" spans="1:12" ht="17.399999999999999" outlineLevel="1">
      <c r="A1" s="676" t="s">
        <v>67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</row>
    <row r="2" spans="1:12" ht="17.399999999999999" outlineLevel="1">
      <c r="A2" s="676" t="s">
        <v>479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</row>
    <row r="3" spans="1:12" ht="18" outlineLevel="1">
      <c r="A3" s="677" t="s">
        <v>475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</row>
    <row r="4" spans="1:12" ht="6.75" customHeight="1" outlineLevel="1"/>
    <row r="5" spans="1:12" ht="16.5" customHeight="1">
      <c r="A5" s="654" t="s">
        <v>32</v>
      </c>
      <c r="B5" s="654" t="s">
        <v>42</v>
      </c>
      <c r="C5" s="654" t="s">
        <v>4</v>
      </c>
      <c r="D5" s="654" t="s">
        <v>154</v>
      </c>
      <c r="E5" s="654" t="s">
        <v>182</v>
      </c>
      <c r="F5" s="674" t="s">
        <v>477</v>
      </c>
      <c r="G5" s="674" t="s">
        <v>155</v>
      </c>
      <c r="H5" s="674" t="s">
        <v>478</v>
      </c>
      <c r="I5" s="687" t="s">
        <v>226</v>
      </c>
      <c r="J5" s="688"/>
      <c r="K5" s="674" t="s">
        <v>46</v>
      </c>
    </row>
    <row r="6" spans="1:12" ht="46.8">
      <c r="A6" s="654"/>
      <c r="B6" s="654"/>
      <c r="C6" s="654"/>
      <c r="D6" s="654"/>
      <c r="E6" s="654"/>
      <c r="F6" s="675"/>
      <c r="G6" s="675"/>
      <c r="H6" s="675"/>
      <c r="I6" s="7" t="s">
        <v>480</v>
      </c>
      <c r="J6" s="7" t="s">
        <v>481</v>
      </c>
      <c r="K6" s="675"/>
    </row>
    <row r="7" spans="1:12">
      <c r="A7" s="7">
        <v>1</v>
      </c>
      <c r="B7" s="7">
        <v>2</v>
      </c>
      <c r="C7" s="7">
        <v>3</v>
      </c>
      <c r="D7" s="7"/>
      <c r="E7" s="7">
        <v>4</v>
      </c>
      <c r="F7" s="7">
        <v>4</v>
      </c>
      <c r="G7" s="7">
        <v>5</v>
      </c>
      <c r="H7" s="7">
        <v>6</v>
      </c>
      <c r="I7" s="7" t="s">
        <v>482</v>
      </c>
      <c r="J7" s="7" t="s">
        <v>231</v>
      </c>
      <c r="K7" s="7">
        <v>9</v>
      </c>
    </row>
    <row r="8" spans="1:12" ht="20.25" customHeight="1">
      <c r="A8" s="205"/>
      <c r="B8" s="234" t="s">
        <v>68</v>
      </c>
      <c r="C8" s="205"/>
      <c r="D8" s="205"/>
      <c r="E8" s="205"/>
      <c r="F8" s="205"/>
      <c r="G8" s="205"/>
      <c r="H8" s="205"/>
      <c r="I8" s="205"/>
      <c r="J8" s="205"/>
      <c r="K8" s="110"/>
    </row>
    <row r="9" spans="1:12" ht="19.5" customHeight="1" collapsed="1">
      <c r="A9" s="8" t="s">
        <v>23</v>
      </c>
      <c r="B9" s="123" t="s">
        <v>127</v>
      </c>
      <c r="C9" s="9"/>
      <c r="D9" s="124"/>
      <c r="E9" s="124"/>
      <c r="F9" s="124"/>
      <c r="G9" s="124"/>
      <c r="H9" s="124"/>
      <c r="I9" s="124"/>
      <c r="J9" s="124"/>
      <c r="K9" s="53"/>
      <c r="L9" s="11"/>
    </row>
    <row r="10" spans="1:12" s="15" customFormat="1" ht="19.5" customHeight="1">
      <c r="A10" s="8" t="s">
        <v>21</v>
      </c>
      <c r="B10" s="12" t="s">
        <v>72</v>
      </c>
      <c r="C10" s="9" t="s">
        <v>57</v>
      </c>
      <c r="D10" s="13">
        <v>347871</v>
      </c>
      <c r="E10" s="13">
        <v>313038</v>
      </c>
      <c r="F10" s="13">
        <v>228832</v>
      </c>
      <c r="G10" s="13">
        <v>277205</v>
      </c>
      <c r="H10" s="13">
        <v>223125.87</v>
      </c>
      <c r="I10" s="53">
        <f t="shared" ref="I10:I41" si="0">IFERROR(H10/G10%,"")</f>
        <v>80.491286232210811</v>
      </c>
      <c r="J10" s="53">
        <f t="shared" ref="J10:J41" si="1">IFERROR(H10/F10%,"")</f>
        <v>97.506410816668989</v>
      </c>
      <c r="K10" s="69"/>
      <c r="L10" s="14"/>
    </row>
    <row r="11" spans="1:12" ht="19.5" customHeight="1">
      <c r="A11" s="16" t="s">
        <v>65</v>
      </c>
      <c r="B11" s="17" t="s">
        <v>73</v>
      </c>
      <c r="C11" s="18" t="s">
        <v>57</v>
      </c>
      <c r="D11" s="19">
        <v>90496</v>
      </c>
      <c r="E11" s="19">
        <v>104622</v>
      </c>
      <c r="F11" s="19">
        <v>74217</v>
      </c>
      <c r="G11" s="19">
        <v>82860</v>
      </c>
      <c r="H11" s="19">
        <v>82702</v>
      </c>
      <c r="I11" s="48">
        <f>IFERROR(H11/G11%,"")</f>
        <v>99.809316920106198</v>
      </c>
      <c r="J11" s="48">
        <f t="shared" si="1"/>
        <v>111.43269062344207</v>
      </c>
      <c r="K11" s="3"/>
      <c r="L11" s="11"/>
    </row>
    <row r="12" spans="1:12" s="34" customFormat="1" ht="19.5" customHeight="1">
      <c r="A12" s="58"/>
      <c r="B12" s="27" t="s">
        <v>206</v>
      </c>
      <c r="C12" s="33" t="s">
        <v>57</v>
      </c>
      <c r="D12" s="59">
        <v>84999</v>
      </c>
      <c r="E12" s="59">
        <v>71796</v>
      </c>
      <c r="F12" s="59">
        <v>47689</v>
      </c>
      <c r="G12" s="59">
        <v>70788</v>
      </c>
      <c r="H12" s="59">
        <v>65949</v>
      </c>
      <c r="I12" s="71">
        <f>IFERROR(H12/G12%,"")</f>
        <v>93.164095609425331</v>
      </c>
      <c r="J12" s="71">
        <f t="shared" si="1"/>
        <v>138.2897523537923</v>
      </c>
      <c r="K12" s="70"/>
      <c r="L12" s="11"/>
    </row>
    <row r="13" spans="1:12" s="15" customFormat="1" ht="18.75" customHeight="1">
      <c r="A13" s="8" t="s">
        <v>22</v>
      </c>
      <c r="B13" s="12" t="s">
        <v>74</v>
      </c>
      <c r="C13" s="9" t="s">
        <v>57</v>
      </c>
      <c r="D13" s="13">
        <v>308217</v>
      </c>
      <c r="E13" s="13">
        <v>300633</v>
      </c>
      <c r="F13" s="13">
        <v>175958</v>
      </c>
      <c r="G13" s="13">
        <v>265133</v>
      </c>
      <c r="H13" s="13">
        <v>205158.75</v>
      </c>
      <c r="I13" s="53">
        <f t="shared" si="0"/>
        <v>77.379560447020935</v>
      </c>
      <c r="J13" s="53">
        <f t="shared" si="1"/>
        <v>116.59529546823674</v>
      </c>
      <c r="K13" s="69"/>
      <c r="L13" s="14"/>
    </row>
    <row r="14" spans="1:12" ht="20.25" customHeight="1">
      <c r="A14" s="16" t="s">
        <v>65</v>
      </c>
      <c r="B14" s="17" t="s">
        <v>75</v>
      </c>
      <c r="C14" s="18" t="s">
        <v>57</v>
      </c>
      <c r="D14" s="19">
        <v>239615</v>
      </c>
      <c r="E14" s="19">
        <v>264543</v>
      </c>
      <c r="F14" s="19">
        <v>172540</v>
      </c>
      <c r="G14" s="19">
        <v>232779</v>
      </c>
      <c r="H14" s="19">
        <v>152206</v>
      </c>
      <c r="I14" s="48">
        <f t="shared" si="0"/>
        <v>65.386482457610015</v>
      </c>
      <c r="J14" s="48">
        <f t="shared" si="1"/>
        <v>88.214906688304154</v>
      </c>
      <c r="K14" s="3"/>
      <c r="L14" s="11"/>
    </row>
    <row r="15" spans="1:12" ht="20.25" customHeight="1">
      <c r="A15" s="8"/>
      <c r="B15" s="12" t="s">
        <v>77</v>
      </c>
      <c r="C15" s="21"/>
      <c r="D15" s="22"/>
      <c r="E15" s="22"/>
      <c r="F15" s="22"/>
      <c r="G15" s="22"/>
      <c r="H15" s="22"/>
      <c r="I15" s="53" t="str">
        <f t="shared" si="0"/>
        <v/>
      </c>
      <c r="J15" s="53" t="str">
        <f t="shared" si="1"/>
        <v/>
      </c>
      <c r="K15" s="53"/>
    </row>
    <row r="16" spans="1:12" ht="20.25" customHeight="1">
      <c r="A16" s="1" t="s">
        <v>33</v>
      </c>
      <c r="B16" s="17" t="s">
        <v>169</v>
      </c>
      <c r="C16" s="1" t="s">
        <v>20</v>
      </c>
      <c r="D16" s="26">
        <f>D17+D67</f>
        <v>17898.73</v>
      </c>
      <c r="E16" s="26">
        <f>E17+E67</f>
        <v>17734.400000000001</v>
      </c>
      <c r="F16" s="26">
        <f>F17+F67</f>
        <v>17615.2</v>
      </c>
      <c r="G16" s="26">
        <f>G17+G67</f>
        <v>18028.099999999999</v>
      </c>
      <c r="H16" s="26">
        <f t="shared" ref="H16" si="2">H17+H67</f>
        <v>17665.170000000002</v>
      </c>
      <c r="I16" s="48">
        <f t="shared" si="0"/>
        <v>97.986864949717415</v>
      </c>
      <c r="J16" s="48">
        <f t="shared" si="1"/>
        <v>100.28367546210092</v>
      </c>
      <c r="K16" s="3"/>
    </row>
    <row r="17" spans="1:12" ht="17.25" customHeight="1">
      <c r="A17" s="8" t="s">
        <v>21</v>
      </c>
      <c r="B17" s="12" t="s">
        <v>190</v>
      </c>
      <c r="C17" s="8" t="s">
        <v>20</v>
      </c>
      <c r="D17" s="24">
        <f>D18+D47+D54+D50+D63</f>
        <v>8084.73</v>
      </c>
      <c r="E17" s="24">
        <f>E18+E47+E54+E50+E63</f>
        <v>7662.8</v>
      </c>
      <c r="F17" s="24">
        <f>F18+F47+F54+F50+F63</f>
        <v>7585.9000000000005</v>
      </c>
      <c r="G17" s="24">
        <f>G18+G47+G54+G50+G63</f>
        <v>7906</v>
      </c>
      <c r="H17" s="24">
        <f>H18+H47+H54+H50+H63</f>
        <v>7215.3700000000008</v>
      </c>
      <c r="I17" s="53">
        <f t="shared" si="0"/>
        <v>91.264482671388819</v>
      </c>
      <c r="J17" s="53">
        <f t="shared" si="1"/>
        <v>95.115543310615749</v>
      </c>
      <c r="K17" s="3"/>
      <c r="L17" s="63"/>
    </row>
    <row r="18" spans="1:12" s="15" customFormat="1" ht="17.25" customHeight="1">
      <c r="A18" s="8">
        <v>1</v>
      </c>
      <c r="B18" s="12" t="s">
        <v>7</v>
      </c>
      <c r="C18" s="8" t="s">
        <v>20</v>
      </c>
      <c r="D18" s="24">
        <f>D23+D38</f>
        <v>1649.23</v>
      </c>
      <c r="E18" s="24">
        <f>E23+E38</f>
        <v>1641.6</v>
      </c>
      <c r="F18" s="24">
        <f>F23+F38</f>
        <v>1625.1</v>
      </c>
      <c r="G18" s="24">
        <f>G23+G38</f>
        <v>1614</v>
      </c>
      <c r="H18" s="24">
        <f t="shared" ref="H18" si="3">H23+H38</f>
        <v>1646.17</v>
      </c>
      <c r="I18" s="53">
        <f t="shared" si="0"/>
        <v>101.99318463444858</v>
      </c>
      <c r="J18" s="53">
        <f t="shared" si="1"/>
        <v>101.29653559780938</v>
      </c>
      <c r="K18" s="69"/>
    </row>
    <row r="19" spans="1:12" ht="17.25" customHeight="1">
      <c r="A19" s="1" t="s">
        <v>33</v>
      </c>
      <c r="B19" s="17" t="s">
        <v>8</v>
      </c>
      <c r="C19" s="1" t="s">
        <v>5</v>
      </c>
      <c r="D19" s="26">
        <f t="shared" ref="D19:G19" si="4">SUM(D20:D21)</f>
        <v>6733.6763900000005</v>
      </c>
      <c r="E19" s="26">
        <f t="shared" si="4"/>
        <v>7129.6886000000004</v>
      </c>
      <c r="F19" s="26">
        <f t="shared" ref="F19" si="5">SUM(F20:F21)</f>
        <v>2883.2275</v>
      </c>
      <c r="G19" s="26">
        <f t="shared" si="4"/>
        <v>7071.0429999999997</v>
      </c>
      <c r="H19" s="26">
        <f t="shared" ref="H19" si="6">SUM(H20:H21)</f>
        <v>3118.9459380221647</v>
      </c>
      <c r="I19" s="48">
        <f t="shared" si="0"/>
        <v>44.108711232871372</v>
      </c>
      <c r="J19" s="48">
        <f t="shared" si="1"/>
        <v>108.17550602656796</v>
      </c>
      <c r="K19" s="3"/>
    </row>
    <row r="20" spans="1:12" ht="17.25" customHeight="1">
      <c r="A20" s="1"/>
      <c r="B20" s="27" t="s">
        <v>9</v>
      </c>
      <c r="C20" s="1" t="s">
        <v>47</v>
      </c>
      <c r="D20" s="26">
        <f t="shared" ref="D20:H20" si="7">D25</f>
        <v>6298.7078300000003</v>
      </c>
      <c r="E20" s="26">
        <f t="shared" si="7"/>
        <v>6644.7176000000009</v>
      </c>
      <c r="F20" s="26">
        <f t="shared" ref="F20" si="8">F25</f>
        <v>2700.1765</v>
      </c>
      <c r="G20" s="26">
        <f t="shared" si="7"/>
        <v>6644.5429999999997</v>
      </c>
      <c r="H20" s="26">
        <f t="shared" si="7"/>
        <v>2973.9459380221647</v>
      </c>
      <c r="I20" s="48">
        <f t="shared" si="0"/>
        <v>44.757719801379338</v>
      </c>
      <c r="J20" s="48">
        <f t="shared" si="1"/>
        <v>110.13894602897865</v>
      </c>
      <c r="K20" s="3"/>
    </row>
    <row r="21" spans="1:12" ht="17.25" customHeight="1">
      <c r="A21" s="1"/>
      <c r="B21" s="17" t="s">
        <v>61</v>
      </c>
      <c r="C21" s="1" t="s">
        <v>47</v>
      </c>
      <c r="D21" s="26">
        <f t="shared" ref="D21:H21" si="9">D40</f>
        <v>434.96856000000002</v>
      </c>
      <c r="E21" s="26">
        <f t="shared" si="9"/>
        <v>484.97099999999995</v>
      </c>
      <c r="F21" s="26">
        <f t="shared" ref="F21" si="10">F40</f>
        <v>183.05099999999999</v>
      </c>
      <c r="G21" s="26">
        <f t="shared" si="9"/>
        <v>426.5</v>
      </c>
      <c r="H21" s="26">
        <f t="shared" si="9"/>
        <v>145</v>
      </c>
      <c r="I21" s="48">
        <f t="shared" si="0"/>
        <v>33.997655334114889</v>
      </c>
      <c r="J21" s="48">
        <f t="shared" si="1"/>
        <v>79.212896952215516</v>
      </c>
      <c r="K21" s="3"/>
    </row>
    <row r="22" spans="1:12" ht="17.25" customHeight="1">
      <c r="A22" s="1" t="s">
        <v>33</v>
      </c>
      <c r="B22" s="17" t="s">
        <v>10</v>
      </c>
      <c r="C22" s="1" t="s">
        <v>34</v>
      </c>
      <c r="D22" s="26">
        <f>D19/D136*1000</f>
        <v>150.81697702024726</v>
      </c>
      <c r="E22" s="26">
        <f>E19/E136*1000</f>
        <v>155.57664284545305</v>
      </c>
      <c r="F22" s="26">
        <f>F19/F136*1000</f>
        <v>62.888029751128755</v>
      </c>
      <c r="G22" s="26">
        <f>G19/G136*1000</f>
        <v>150.66410270068715</v>
      </c>
      <c r="H22" s="26">
        <f>H19/H136*1000</f>
        <v>66.668361114553676</v>
      </c>
      <c r="I22" s="48">
        <f t="shared" si="0"/>
        <v>44.2496652616706</v>
      </c>
      <c r="J22" s="48">
        <f t="shared" si="1"/>
        <v>106.01120973003144</v>
      </c>
      <c r="K22" s="3"/>
    </row>
    <row r="23" spans="1:12" s="15" customFormat="1" ht="17.25" customHeight="1">
      <c r="A23" s="8" t="s">
        <v>17</v>
      </c>
      <c r="B23" s="36" t="s">
        <v>191</v>
      </c>
      <c r="C23" s="8" t="s">
        <v>20</v>
      </c>
      <c r="D23" s="13">
        <f>D26+D29</f>
        <v>1558.31</v>
      </c>
      <c r="E23" s="13">
        <f>E26+E29</f>
        <v>1540</v>
      </c>
      <c r="F23" s="13">
        <f>F26+F29</f>
        <v>1529</v>
      </c>
      <c r="G23" s="13">
        <f>G26+G29</f>
        <v>1531</v>
      </c>
      <c r="H23" s="13">
        <f t="shared" ref="H23" si="11">H26+H29</f>
        <v>1560.97</v>
      </c>
      <c r="I23" s="53">
        <f t="shared" si="0"/>
        <v>101.95754408883083</v>
      </c>
      <c r="J23" s="53">
        <f t="shared" si="1"/>
        <v>102.09090909090909</v>
      </c>
      <c r="K23" s="69"/>
    </row>
    <row r="24" spans="1:12" ht="17.25" customHeight="1">
      <c r="A24" s="1"/>
      <c r="B24" s="29" t="s">
        <v>11</v>
      </c>
      <c r="C24" s="1" t="s">
        <v>6</v>
      </c>
      <c r="D24" s="30">
        <f t="shared" ref="D24:H24" si="12">D25/D23*10</f>
        <v>40.420120707689748</v>
      </c>
      <c r="E24" s="30">
        <f t="shared" si="12"/>
        <v>43.147516883116886</v>
      </c>
      <c r="F24" s="30">
        <f t="shared" ref="F24" si="13">F25/F23*10</f>
        <v>17.659754741661217</v>
      </c>
      <c r="G24" s="30">
        <f t="shared" si="12"/>
        <v>43.400019595035921</v>
      </c>
      <c r="H24" s="30">
        <f t="shared" si="12"/>
        <v>19.051909633254738</v>
      </c>
      <c r="I24" s="48">
        <f t="shared" si="0"/>
        <v>43.898389473155646</v>
      </c>
      <c r="J24" s="48">
        <f t="shared" si="1"/>
        <v>107.88320626168878</v>
      </c>
      <c r="K24" s="3"/>
    </row>
    <row r="25" spans="1:12" ht="17.25" customHeight="1">
      <c r="A25" s="1"/>
      <c r="B25" s="29" t="s">
        <v>12</v>
      </c>
      <c r="C25" s="1" t="s">
        <v>47</v>
      </c>
      <c r="D25" s="19">
        <f>D28+D31</f>
        <v>6298.7078300000003</v>
      </c>
      <c r="E25" s="19">
        <f>E28+E31</f>
        <v>6644.7176000000009</v>
      </c>
      <c r="F25" s="19">
        <f>F28+F31</f>
        <v>2700.1765</v>
      </c>
      <c r="G25" s="19">
        <f>G28+G31</f>
        <v>6644.5429999999997</v>
      </c>
      <c r="H25" s="19">
        <f t="shared" ref="H25" si="14">H28+H31</f>
        <v>2973.9459380221647</v>
      </c>
      <c r="I25" s="48">
        <f t="shared" si="0"/>
        <v>44.757719801379338</v>
      </c>
      <c r="J25" s="48">
        <f t="shared" si="1"/>
        <v>110.13894602897865</v>
      </c>
      <c r="K25" s="3"/>
    </row>
    <row r="26" spans="1:12" ht="17.25" customHeight="1">
      <c r="A26" s="1" t="s">
        <v>183</v>
      </c>
      <c r="B26" s="100" t="s">
        <v>192</v>
      </c>
      <c r="C26" s="1" t="s">
        <v>20</v>
      </c>
      <c r="D26" s="19">
        <v>597.30999999999995</v>
      </c>
      <c r="E26" s="119">
        <v>570.5</v>
      </c>
      <c r="F26" s="49">
        <v>570.5</v>
      </c>
      <c r="G26" s="49">
        <v>571</v>
      </c>
      <c r="H26" s="49">
        <v>573.87</v>
      </c>
      <c r="I26" s="48">
        <f t="shared" si="0"/>
        <v>100.50262697022767</v>
      </c>
      <c r="J26" s="48">
        <f t="shared" si="1"/>
        <v>100.59070990359334</v>
      </c>
      <c r="K26" s="3"/>
    </row>
    <row r="27" spans="1:12" ht="17.25" customHeight="1">
      <c r="A27" s="1"/>
      <c r="B27" s="100" t="s">
        <v>11</v>
      </c>
      <c r="C27" s="1" t="s">
        <v>6</v>
      </c>
      <c r="D27" s="22">
        <v>39.33</v>
      </c>
      <c r="E27" s="30">
        <v>47.2</v>
      </c>
      <c r="F27" s="48">
        <v>47.33</v>
      </c>
      <c r="G27" s="48">
        <v>47.33</v>
      </c>
      <c r="H27" s="48">
        <v>51.822641678815145</v>
      </c>
      <c r="I27" s="48">
        <f t="shared" si="0"/>
        <v>109.49216496686066</v>
      </c>
      <c r="J27" s="48">
        <f t="shared" si="1"/>
        <v>109.49216496686066</v>
      </c>
      <c r="K27" s="3"/>
    </row>
    <row r="28" spans="1:12" ht="17.25" customHeight="1">
      <c r="A28" s="1"/>
      <c r="B28" s="101" t="s">
        <v>12</v>
      </c>
      <c r="C28" s="1" t="s">
        <v>47</v>
      </c>
      <c r="D28" s="19">
        <f t="shared" ref="D28:H28" si="15">D26*D27/10</f>
        <v>2349.2202299999999</v>
      </c>
      <c r="E28" s="19">
        <f t="shared" si="15"/>
        <v>2692.76</v>
      </c>
      <c r="F28" s="19">
        <f t="shared" ref="F28" si="16">F26*F27/10</f>
        <v>2700.1765</v>
      </c>
      <c r="G28" s="19">
        <f t="shared" si="15"/>
        <v>2702.5430000000001</v>
      </c>
      <c r="H28" s="19">
        <f t="shared" si="15"/>
        <v>2973.9459380221647</v>
      </c>
      <c r="I28" s="48">
        <f t="shared" si="0"/>
        <v>110.04250211827026</v>
      </c>
      <c r="J28" s="48">
        <f t="shared" si="1"/>
        <v>110.13894602897865</v>
      </c>
      <c r="K28" s="3"/>
    </row>
    <row r="29" spans="1:12" ht="17.25" customHeight="1">
      <c r="A29" s="1" t="s">
        <v>184</v>
      </c>
      <c r="B29" s="100" t="s">
        <v>193</v>
      </c>
      <c r="C29" s="1" t="s">
        <v>20</v>
      </c>
      <c r="D29" s="19">
        <f>D32+D35</f>
        <v>961</v>
      </c>
      <c r="E29" s="26">
        <f>E32+E35</f>
        <v>969.5</v>
      </c>
      <c r="F29" s="26">
        <f>F32+F35</f>
        <v>958.5</v>
      </c>
      <c r="G29" s="26">
        <f>G32+G35</f>
        <v>960</v>
      </c>
      <c r="H29" s="26">
        <f t="shared" ref="H29" si="17">H32+H35</f>
        <v>987.1</v>
      </c>
      <c r="I29" s="48">
        <f t="shared" si="0"/>
        <v>102.82291666666667</v>
      </c>
      <c r="J29" s="48">
        <f t="shared" si="1"/>
        <v>102.98382889932185</v>
      </c>
      <c r="K29" s="3"/>
    </row>
    <row r="30" spans="1:12" ht="17.25" customHeight="1">
      <c r="A30" s="1"/>
      <c r="B30" s="101" t="s">
        <v>11</v>
      </c>
      <c r="C30" s="1" t="s">
        <v>6</v>
      </c>
      <c r="D30" s="30">
        <f t="shared" ref="D30:H30" si="18">D31/D29*10</f>
        <v>41.097685744016658</v>
      </c>
      <c r="E30" s="25">
        <f t="shared" si="18"/>
        <v>40.762842702423939</v>
      </c>
      <c r="F30" s="25">
        <f t="shared" ref="F30" si="19">F31/F29*10</f>
        <v>0</v>
      </c>
      <c r="G30" s="25">
        <f t="shared" si="18"/>
        <v>41.0625</v>
      </c>
      <c r="H30" s="25">
        <f t="shared" si="18"/>
        <v>0</v>
      </c>
      <c r="I30" s="48">
        <f t="shared" si="0"/>
        <v>0</v>
      </c>
      <c r="J30" s="48" t="str">
        <f t="shared" si="1"/>
        <v/>
      </c>
      <c r="K30" s="3"/>
    </row>
    <row r="31" spans="1:12" ht="17.25" customHeight="1">
      <c r="A31" s="1"/>
      <c r="B31" s="101" t="s">
        <v>12</v>
      </c>
      <c r="C31" s="1" t="s">
        <v>47</v>
      </c>
      <c r="D31" s="19">
        <f>D34+D37</f>
        <v>3949.4876000000004</v>
      </c>
      <c r="E31" s="26">
        <f>E34+E37</f>
        <v>3951.9576000000006</v>
      </c>
      <c r="F31" s="26">
        <f>F34+F37</f>
        <v>0</v>
      </c>
      <c r="G31" s="26">
        <f>G34+G37</f>
        <v>3942</v>
      </c>
      <c r="H31" s="26">
        <f t="shared" ref="H31" si="20">H34+H37</f>
        <v>0</v>
      </c>
      <c r="I31" s="48">
        <f t="shared" si="0"/>
        <v>0</v>
      </c>
      <c r="J31" s="48" t="str">
        <f t="shared" si="1"/>
        <v/>
      </c>
      <c r="K31" s="3"/>
    </row>
    <row r="32" spans="1:12" ht="17.25" customHeight="1">
      <c r="A32" s="1"/>
      <c r="B32" s="98" t="s">
        <v>194</v>
      </c>
      <c r="C32" s="1" t="s">
        <v>20</v>
      </c>
      <c r="D32" s="19">
        <v>906.4</v>
      </c>
      <c r="E32" s="30">
        <v>903.3</v>
      </c>
      <c r="F32" s="19">
        <v>892.3</v>
      </c>
      <c r="G32" s="19">
        <v>900</v>
      </c>
      <c r="H32" s="19">
        <v>893.2</v>
      </c>
      <c r="I32" s="48">
        <f t="shared" si="0"/>
        <v>99.244444444444454</v>
      </c>
      <c r="J32" s="48">
        <f t="shared" si="1"/>
        <v>100.10086293847361</v>
      </c>
      <c r="K32" s="3"/>
    </row>
    <row r="33" spans="1:11" ht="17.25" customHeight="1">
      <c r="A33" s="1"/>
      <c r="B33" s="99" t="s">
        <v>11</v>
      </c>
      <c r="C33" s="1" t="s">
        <v>6</v>
      </c>
      <c r="D33" s="22">
        <v>42.83</v>
      </c>
      <c r="E33" s="30">
        <v>42.84</v>
      </c>
      <c r="F33" s="30"/>
      <c r="G33" s="30">
        <v>43</v>
      </c>
      <c r="H33" s="30"/>
      <c r="I33" s="48">
        <f t="shared" si="0"/>
        <v>0</v>
      </c>
      <c r="J33" s="48" t="str">
        <f t="shared" si="1"/>
        <v/>
      </c>
      <c r="K33" s="3"/>
    </row>
    <row r="34" spans="1:11" ht="17.25" customHeight="1">
      <c r="A34" s="1"/>
      <c r="B34" s="99" t="s">
        <v>12</v>
      </c>
      <c r="C34" s="1" t="s">
        <v>47</v>
      </c>
      <c r="D34" s="19">
        <f>D33*D32/10</f>
        <v>3882.1112000000003</v>
      </c>
      <c r="E34" s="19">
        <f t="shared" ref="E34:H34" si="21">E32*E33/10</f>
        <v>3869.7372000000005</v>
      </c>
      <c r="F34" s="19">
        <f t="shared" ref="F34" si="22">F32*F33/10</f>
        <v>0</v>
      </c>
      <c r="G34" s="19">
        <f t="shared" si="21"/>
        <v>3870</v>
      </c>
      <c r="H34" s="19">
        <f t="shared" si="21"/>
        <v>0</v>
      </c>
      <c r="I34" s="48">
        <f t="shared" si="0"/>
        <v>0</v>
      </c>
      <c r="J34" s="48" t="str">
        <f t="shared" si="1"/>
        <v/>
      </c>
      <c r="K34" s="3"/>
    </row>
    <row r="35" spans="1:11" ht="17.25" customHeight="1">
      <c r="A35" s="1"/>
      <c r="B35" s="98" t="s">
        <v>207</v>
      </c>
      <c r="C35" s="1" t="s">
        <v>20</v>
      </c>
      <c r="D35" s="19">
        <v>54.6</v>
      </c>
      <c r="E35" s="19">
        <v>66.2</v>
      </c>
      <c r="F35" s="19">
        <v>66.2</v>
      </c>
      <c r="G35" s="19">
        <v>60</v>
      </c>
      <c r="H35" s="19">
        <v>93.9</v>
      </c>
      <c r="I35" s="48">
        <f t="shared" si="0"/>
        <v>156.50000000000003</v>
      </c>
      <c r="J35" s="48">
        <f t="shared" si="1"/>
        <v>141.8429003021148</v>
      </c>
      <c r="K35" s="3"/>
    </row>
    <row r="36" spans="1:11" ht="17.25" customHeight="1">
      <c r="A36" s="1"/>
      <c r="B36" s="99" t="s">
        <v>11</v>
      </c>
      <c r="C36" s="1" t="s">
        <v>6</v>
      </c>
      <c r="D36" s="30">
        <v>12.34</v>
      </c>
      <c r="E36" s="30">
        <v>12.42</v>
      </c>
      <c r="F36" s="30"/>
      <c r="G36" s="30">
        <v>12</v>
      </c>
      <c r="H36" s="30"/>
      <c r="I36" s="48">
        <f t="shared" si="0"/>
        <v>0</v>
      </c>
      <c r="J36" s="48" t="str">
        <f t="shared" si="1"/>
        <v/>
      </c>
      <c r="K36" s="3"/>
    </row>
    <row r="37" spans="1:11" ht="17.25" customHeight="1">
      <c r="A37" s="1"/>
      <c r="B37" s="99" t="s">
        <v>12</v>
      </c>
      <c r="C37" s="1" t="s">
        <v>47</v>
      </c>
      <c r="D37" s="19">
        <f t="shared" ref="D37:H37" si="23">D36*D35/10</f>
        <v>67.376400000000004</v>
      </c>
      <c r="E37" s="19">
        <f t="shared" si="23"/>
        <v>82.220400000000012</v>
      </c>
      <c r="F37" s="19">
        <f t="shared" ref="F37" si="24">F36*F35/10</f>
        <v>0</v>
      </c>
      <c r="G37" s="19">
        <f t="shared" si="23"/>
        <v>72</v>
      </c>
      <c r="H37" s="19">
        <f t="shared" si="23"/>
        <v>0</v>
      </c>
      <c r="I37" s="48">
        <f t="shared" si="0"/>
        <v>0</v>
      </c>
      <c r="J37" s="48" t="str">
        <f t="shared" si="1"/>
        <v/>
      </c>
      <c r="K37" s="3"/>
    </row>
    <row r="38" spans="1:11" s="15" customFormat="1" ht="17.25" customHeight="1">
      <c r="A38" s="8" t="s">
        <v>18</v>
      </c>
      <c r="B38" s="36" t="s">
        <v>195</v>
      </c>
      <c r="C38" s="8" t="s">
        <v>20</v>
      </c>
      <c r="D38" s="13">
        <f>D41+D44</f>
        <v>90.92</v>
      </c>
      <c r="E38" s="13">
        <f>E41+E44</f>
        <v>101.6</v>
      </c>
      <c r="F38" s="13">
        <f>F41+F44</f>
        <v>96.1</v>
      </c>
      <c r="G38" s="13">
        <f>G41+G44</f>
        <v>83</v>
      </c>
      <c r="H38" s="13">
        <f t="shared" ref="H38" si="25">H41+H44</f>
        <v>85.2</v>
      </c>
      <c r="I38" s="53">
        <f t="shared" si="0"/>
        <v>102.65060240963857</v>
      </c>
      <c r="J38" s="53">
        <f t="shared" si="1"/>
        <v>88.657648283038512</v>
      </c>
      <c r="K38" s="69"/>
    </row>
    <row r="39" spans="1:11" ht="17.25" customHeight="1">
      <c r="A39" s="1"/>
      <c r="B39" s="29" t="s">
        <v>11</v>
      </c>
      <c r="C39" s="1" t="s">
        <v>6</v>
      </c>
      <c r="D39" s="30">
        <f t="shared" ref="D39:H39" si="26">D40/D38*10</f>
        <v>47.840800703915534</v>
      </c>
      <c r="E39" s="30">
        <f t="shared" si="26"/>
        <v>47.733366141732283</v>
      </c>
      <c r="F39" s="30">
        <f t="shared" ref="F39" si="27">F40/F38*10</f>
        <v>19.047970863683663</v>
      </c>
      <c r="G39" s="30">
        <f t="shared" si="26"/>
        <v>51.385542168674696</v>
      </c>
      <c r="H39" s="30">
        <f t="shared" si="26"/>
        <v>17.018779342723004</v>
      </c>
      <c r="I39" s="48">
        <f t="shared" si="0"/>
        <v>33.119781604830237</v>
      </c>
      <c r="J39" s="48">
        <f t="shared" si="1"/>
        <v>89.346941280609258</v>
      </c>
      <c r="K39" s="3"/>
    </row>
    <row r="40" spans="1:11" ht="17.25" customHeight="1">
      <c r="A40" s="1"/>
      <c r="B40" s="29" t="s">
        <v>12</v>
      </c>
      <c r="C40" s="1" t="s">
        <v>47</v>
      </c>
      <c r="D40" s="19">
        <f>D43+D46</f>
        <v>434.96856000000002</v>
      </c>
      <c r="E40" s="19">
        <f>E43+E46</f>
        <v>484.97099999999995</v>
      </c>
      <c r="F40" s="19">
        <f>F43+F46</f>
        <v>183.05099999999999</v>
      </c>
      <c r="G40" s="19">
        <f>G43+G46</f>
        <v>426.5</v>
      </c>
      <c r="H40" s="19">
        <f t="shared" ref="H40" si="28">H43+H46</f>
        <v>145</v>
      </c>
      <c r="I40" s="48">
        <f t="shared" si="0"/>
        <v>33.997655334114889</v>
      </c>
      <c r="J40" s="48">
        <f t="shared" si="1"/>
        <v>79.212896952215516</v>
      </c>
      <c r="K40" s="3"/>
    </row>
    <row r="41" spans="1:11" ht="17.25" customHeight="1">
      <c r="A41" s="1" t="s">
        <v>185</v>
      </c>
      <c r="B41" s="100" t="s">
        <v>208</v>
      </c>
      <c r="C41" s="1" t="s">
        <v>20</v>
      </c>
      <c r="D41" s="26">
        <v>28.22</v>
      </c>
      <c r="E41" s="26">
        <v>38.700000000000003</v>
      </c>
      <c r="F41" s="26">
        <v>38.700000000000003</v>
      </c>
      <c r="G41" s="26">
        <v>23</v>
      </c>
      <c r="H41" s="26">
        <v>25</v>
      </c>
      <c r="I41" s="48">
        <f t="shared" si="0"/>
        <v>108.69565217391303</v>
      </c>
      <c r="J41" s="48">
        <f t="shared" si="1"/>
        <v>64.599483204134359</v>
      </c>
      <c r="K41" s="3"/>
    </row>
    <row r="42" spans="1:11" ht="17.25" customHeight="1">
      <c r="A42" s="1"/>
      <c r="B42" s="100" t="s">
        <v>11</v>
      </c>
      <c r="C42" s="1" t="s">
        <v>6</v>
      </c>
      <c r="D42" s="25">
        <v>56.13</v>
      </c>
      <c r="E42" s="25">
        <v>47.3</v>
      </c>
      <c r="F42" s="25">
        <v>47.3</v>
      </c>
      <c r="G42" s="25">
        <v>55</v>
      </c>
      <c r="H42" s="25">
        <v>58</v>
      </c>
      <c r="I42" s="48">
        <f t="shared" ref="I42:I70" si="29">IFERROR(H42/G42%,"")</f>
        <v>105.45454545454544</v>
      </c>
      <c r="J42" s="48">
        <f t="shared" ref="J42:J70" si="30">IFERROR(H42/F42%,"")</f>
        <v>122.6215644820296</v>
      </c>
      <c r="K42" s="3"/>
    </row>
    <row r="43" spans="1:11" ht="17.25" customHeight="1">
      <c r="A43" s="1"/>
      <c r="B43" s="101" t="s">
        <v>12</v>
      </c>
      <c r="C43" s="1" t="s">
        <v>47</v>
      </c>
      <c r="D43" s="26">
        <f t="shared" ref="D43:H43" si="31">D42*D41/10</f>
        <v>158.39885999999998</v>
      </c>
      <c r="E43" s="26">
        <f t="shared" si="31"/>
        <v>183.05099999999999</v>
      </c>
      <c r="F43" s="26">
        <f t="shared" ref="F43" si="32">F42*F41/10</f>
        <v>183.05099999999999</v>
      </c>
      <c r="G43" s="26">
        <f t="shared" si="31"/>
        <v>126.5</v>
      </c>
      <c r="H43" s="26">
        <f t="shared" si="31"/>
        <v>145</v>
      </c>
      <c r="I43" s="48">
        <f t="shared" si="29"/>
        <v>114.62450592885376</v>
      </c>
      <c r="J43" s="48">
        <f t="shared" si="30"/>
        <v>79.212896952215516</v>
      </c>
      <c r="K43" s="3"/>
    </row>
    <row r="44" spans="1:11" ht="17.25" customHeight="1">
      <c r="A44" s="1" t="s">
        <v>186</v>
      </c>
      <c r="B44" s="100" t="s">
        <v>209</v>
      </c>
      <c r="C44" s="1" t="s">
        <v>20</v>
      </c>
      <c r="D44" s="26">
        <v>62.7</v>
      </c>
      <c r="E44" s="26">
        <v>62.9</v>
      </c>
      <c r="F44" s="26">
        <v>57.4</v>
      </c>
      <c r="G44" s="26">
        <v>60</v>
      </c>
      <c r="H44" s="26">
        <v>60.2</v>
      </c>
      <c r="I44" s="48">
        <f t="shared" si="29"/>
        <v>100.33333333333334</v>
      </c>
      <c r="J44" s="48">
        <f t="shared" si="30"/>
        <v>104.87804878048782</v>
      </c>
      <c r="K44" s="3"/>
    </row>
    <row r="45" spans="1:11" ht="17.25" customHeight="1">
      <c r="A45" s="1"/>
      <c r="B45" s="100" t="s">
        <v>11</v>
      </c>
      <c r="C45" s="1" t="s">
        <v>6</v>
      </c>
      <c r="D45" s="25">
        <v>44.11</v>
      </c>
      <c r="E45" s="25">
        <v>48</v>
      </c>
      <c r="F45" s="25"/>
      <c r="G45" s="25">
        <v>50</v>
      </c>
      <c r="H45" s="25"/>
      <c r="I45" s="48">
        <f t="shared" si="29"/>
        <v>0</v>
      </c>
      <c r="J45" s="48" t="str">
        <f t="shared" si="30"/>
        <v/>
      </c>
      <c r="K45" s="3"/>
    </row>
    <row r="46" spans="1:11" ht="17.25" customHeight="1">
      <c r="A46" s="1"/>
      <c r="B46" s="101" t="s">
        <v>12</v>
      </c>
      <c r="C46" s="1" t="s">
        <v>47</v>
      </c>
      <c r="D46" s="26">
        <f>D44*D45/10</f>
        <v>276.56970000000001</v>
      </c>
      <c r="E46" s="26">
        <f t="shared" ref="E46:H46" si="33">E45*E44/10</f>
        <v>301.91999999999996</v>
      </c>
      <c r="F46" s="26">
        <f t="shared" ref="F46" si="34">F45*F44/10</f>
        <v>0</v>
      </c>
      <c r="G46" s="26">
        <f t="shared" si="33"/>
        <v>300</v>
      </c>
      <c r="H46" s="26">
        <f t="shared" si="33"/>
        <v>0</v>
      </c>
      <c r="I46" s="48">
        <f t="shared" si="29"/>
        <v>0</v>
      </c>
      <c r="J46" s="48" t="str">
        <f t="shared" si="30"/>
        <v/>
      </c>
      <c r="K46" s="3"/>
    </row>
    <row r="47" spans="1:11" ht="19.5" customHeight="1">
      <c r="A47" s="8">
        <v>2</v>
      </c>
      <c r="B47" s="12" t="s">
        <v>13</v>
      </c>
      <c r="C47" s="1" t="s">
        <v>20</v>
      </c>
      <c r="D47" s="24">
        <v>6199.5</v>
      </c>
      <c r="E47" s="24">
        <v>5720.5</v>
      </c>
      <c r="F47" s="24">
        <v>5720.5</v>
      </c>
      <c r="G47" s="24">
        <v>6000</v>
      </c>
      <c r="H47" s="24">
        <v>5281.3</v>
      </c>
      <c r="I47" s="53">
        <f t="shared" si="29"/>
        <v>88.021666666666675</v>
      </c>
      <c r="J47" s="53">
        <f t="shared" si="30"/>
        <v>92.322349444978585</v>
      </c>
      <c r="K47" s="3"/>
    </row>
    <row r="48" spans="1:11" ht="19.5" customHeight="1">
      <c r="A48" s="31"/>
      <c r="B48" s="29" t="s">
        <v>11</v>
      </c>
      <c r="C48" s="1" t="s">
        <v>6</v>
      </c>
      <c r="D48" s="25">
        <f>D49/D47*10</f>
        <v>148.34260827486088</v>
      </c>
      <c r="E48" s="25">
        <v>148.51</v>
      </c>
      <c r="F48" s="25"/>
      <c r="G48" s="25">
        <v>145</v>
      </c>
      <c r="H48" s="25"/>
      <c r="I48" s="48">
        <f t="shared" si="29"/>
        <v>0</v>
      </c>
      <c r="J48" s="48" t="str">
        <f t="shared" si="30"/>
        <v/>
      </c>
      <c r="K48" s="3"/>
    </row>
    <row r="49" spans="1:11" ht="19.5" customHeight="1">
      <c r="A49" s="31"/>
      <c r="B49" s="29" t="s">
        <v>12</v>
      </c>
      <c r="C49" s="1" t="s">
        <v>47</v>
      </c>
      <c r="D49" s="26">
        <v>91965</v>
      </c>
      <c r="E49" s="26">
        <f>E48*E47/10</f>
        <v>84955.145499999999</v>
      </c>
      <c r="F49" s="26">
        <f>F48*F47/10</f>
        <v>0</v>
      </c>
      <c r="G49" s="26">
        <f>G48*G47/10</f>
        <v>87000</v>
      </c>
      <c r="H49" s="26">
        <f t="shared" ref="H49" si="35">H48*H47/10</f>
        <v>0</v>
      </c>
      <c r="I49" s="48">
        <f t="shared" si="29"/>
        <v>0</v>
      </c>
      <c r="J49" s="48" t="str">
        <f t="shared" si="30"/>
        <v/>
      </c>
      <c r="K49" s="3"/>
    </row>
    <row r="50" spans="1:11" s="15" customFormat="1" ht="19.5" customHeight="1">
      <c r="A50" s="8">
        <v>3</v>
      </c>
      <c r="B50" s="12" t="s">
        <v>114</v>
      </c>
      <c r="C50" s="8" t="s">
        <v>20</v>
      </c>
      <c r="D50" s="24">
        <v>9.1999999999999993</v>
      </c>
      <c r="E50" s="24">
        <v>10.5</v>
      </c>
      <c r="F50" s="24">
        <v>10.5</v>
      </c>
      <c r="G50" s="24">
        <v>30</v>
      </c>
      <c r="H50" s="24">
        <v>29.1</v>
      </c>
      <c r="I50" s="53">
        <f t="shared" si="29"/>
        <v>97.000000000000014</v>
      </c>
      <c r="J50" s="53">
        <f t="shared" si="30"/>
        <v>277.14285714285717</v>
      </c>
      <c r="K50" s="69"/>
    </row>
    <row r="51" spans="1:11" ht="19.5" customHeight="1">
      <c r="A51" s="1"/>
      <c r="B51" s="27" t="s">
        <v>53</v>
      </c>
      <c r="C51" s="1" t="s">
        <v>20</v>
      </c>
      <c r="D51" s="26"/>
      <c r="E51" s="26"/>
      <c r="F51" s="26"/>
      <c r="G51" s="26">
        <v>20</v>
      </c>
      <c r="H51" s="26">
        <v>19.100000000000001</v>
      </c>
      <c r="I51" s="48">
        <f t="shared" si="29"/>
        <v>95.5</v>
      </c>
      <c r="J51" s="48" t="str">
        <f t="shared" si="30"/>
        <v/>
      </c>
      <c r="K51" s="3"/>
    </row>
    <row r="52" spans="1:11" ht="19.5" customHeight="1">
      <c r="A52" s="31"/>
      <c r="B52" s="29" t="s">
        <v>11</v>
      </c>
      <c r="C52" s="1" t="s">
        <v>6</v>
      </c>
      <c r="D52" s="25"/>
      <c r="E52" s="25">
        <v>600</v>
      </c>
      <c r="F52" s="25"/>
      <c r="G52" s="25">
        <v>733.3</v>
      </c>
      <c r="H52" s="25"/>
      <c r="I52" s="48">
        <f t="shared" si="29"/>
        <v>0</v>
      </c>
      <c r="J52" s="48" t="str">
        <f t="shared" si="30"/>
        <v/>
      </c>
      <c r="K52" s="3"/>
    </row>
    <row r="53" spans="1:11" ht="19.5" customHeight="1">
      <c r="A53" s="31"/>
      <c r="B53" s="29" t="s">
        <v>12</v>
      </c>
      <c r="C53" s="1" t="s">
        <v>47</v>
      </c>
      <c r="D53" s="26">
        <f>D52*D50/10</f>
        <v>0</v>
      </c>
      <c r="E53" s="26">
        <f>E52*E50/10</f>
        <v>630</v>
      </c>
      <c r="F53" s="26">
        <f>F52*F50/10</f>
        <v>0</v>
      </c>
      <c r="G53" s="26">
        <f>G52*G50/10</f>
        <v>2199.9</v>
      </c>
      <c r="H53" s="26">
        <f t="shared" ref="H53" si="36">H52*H50/10</f>
        <v>0</v>
      </c>
      <c r="I53" s="48">
        <f t="shared" si="29"/>
        <v>0</v>
      </c>
      <c r="J53" s="48" t="str">
        <f t="shared" si="30"/>
        <v/>
      </c>
      <c r="K53" s="3"/>
    </row>
    <row r="54" spans="1:11" ht="19.5" customHeight="1">
      <c r="A54" s="8">
        <v>4</v>
      </c>
      <c r="B54" s="12" t="s">
        <v>60</v>
      </c>
      <c r="C54" s="1" t="s">
        <v>20</v>
      </c>
      <c r="D54" s="24">
        <f>D57+D60</f>
        <v>219.3</v>
      </c>
      <c r="E54" s="24">
        <f>E57+E60</f>
        <v>259</v>
      </c>
      <c r="F54" s="24">
        <f>F57+F60</f>
        <v>214.8</v>
      </c>
      <c r="G54" s="24">
        <f>G57+G60</f>
        <v>230</v>
      </c>
      <c r="H54" s="24">
        <f t="shared" ref="H54" si="37">H57+H60</f>
        <v>220.8</v>
      </c>
      <c r="I54" s="53">
        <f t="shared" si="29"/>
        <v>96.000000000000014</v>
      </c>
      <c r="J54" s="53">
        <f t="shared" si="30"/>
        <v>102.79329608938548</v>
      </c>
      <c r="K54" s="3"/>
    </row>
    <row r="55" spans="1:11" ht="19.5" customHeight="1">
      <c r="A55" s="31"/>
      <c r="B55" s="29" t="s">
        <v>11</v>
      </c>
      <c r="C55" s="1" t="s">
        <v>6</v>
      </c>
      <c r="D55" s="25">
        <f t="shared" ref="D55:H55" si="38">D56/D54*10</f>
        <v>119.96580027359781</v>
      </c>
      <c r="E55" s="25">
        <f t="shared" si="38"/>
        <v>134.57142857142858</v>
      </c>
      <c r="F55" s="25">
        <f t="shared" ref="F55" si="39">F56/F54*10</f>
        <v>96.945996275605211</v>
      </c>
      <c r="G55" s="25">
        <f t="shared" si="38"/>
        <v>136.63173913043477</v>
      </c>
      <c r="H55" s="25">
        <f t="shared" si="38"/>
        <v>81.244565217391283</v>
      </c>
      <c r="I55" s="48">
        <f t="shared" si="29"/>
        <v>59.462439499384246</v>
      </c>
      <c r="J55" s="48">
        <f t="shared" si="30"/>
        <v>83.803940687166971</v>
      </c>
      <c r="K55" s="3"/>
    </row>
    <row r="56" spans="1:11" ht="19.5" customHeight="1">
      <c r="A56" s="31"/>
      <c r="B56" s="29" t="s">
        <v>12</v>
      </c>
      <c r="C56" s="1" t="s">
        <v>47</v>
      </c>
      <c r="D56" s="26">
        <f>D59+D62</f>
        <v>2630.85</v>
      </c>
      <c r="E56" s="26">
        <f>E59+E62</f>
        <v>3485.4</v>
      </c>
      <c r="F56" s="26">
        <f>F59+F62</f>
        <v>2082.4</v>
      </c>
      <c r="G56" s="26">
        <f>G59+G62</f>
        <v>3142.5299999999997</v>
      </c>
      <c r="H56" s="26">
        <f t="shared" ref="H56" si="40">H59+H62</f>
        <v>1793.8799999999999</v>
      </c>
      <c r="I56" s="48">
        <f t="shared" si="29"/>
        <v>57.083941919408886</v>
      </c>
      <c r="J56" s="48">
        <f t="shared" si="30"/>
        <v>86.14483288513253</v>
      </c>
      <c r="K56" s="3"/>
    </row>
    <row r="57" spans="1:11" ht="19.5" customHeight="1">
      <c r="A57" s="1"/>
      <c r="B57" s="118" t="s">
        <v>210</v>
      </c>
      <c r="C57" s="18" t="s">
        <v>20</v>
      </c>
      <c r="D57" s="19">
        <v>97.3</v>
      </c>
      <c r="E57" s="19">
        <v>137</v>
      </c>
      <c r="F57" s="19">
        <v>137</v>
      </c>
      <c r="G57" s="19">
        <v>123</v>
      </c>
      <c r="H57" s="19">
        <v>118.8</v>
      </c>
      <c r="I57" s="48">
        <f t="shared" si="29"/>
        <v>96.58536585365853</v>
      </c>
      <c r="J57" s="48">
        <f t="shared" si="30"/>
        <v>86.71532846715327</v>
      </c>
      <c r="K57" s="3"/>
    </row>
    <row r="58" spans="1:11" ht="19.5" customHeight="1">
      <c r="A58" s="1"/>
      <c r="B58" s="118" t="s">
        <v>11</v>
      </c>
      <c r="C58" s="18" t="s">
        <v>6</v>
      </c>
      <c r="D58" s="30">
        <v>145</v>
      </c>
      <c r="E58" s="30">
        <v>152</v>
      </c>
      <c r="F58" s="30">
        <v>152</v>
      </c>
      <c r="G58" s="30">
        <v>151.1</v>
      </c>
      <c r="H58" s="30">
        <v>151</v>
      </c>
      <c r="I58" s="48">
        <f t="shared" si="29"/>
        <v>99.933818663137004</v>
      </c>
      <c r="J58" s="48">
        <f t="shared" si="30"/>
        <v>99.34210526315789</v>
      </c>
      <c r="K58" s="3"/>
    </row>
    <row r="59" spans="1:11" ht="19.5" customHeight="1">
      <c r="A59" s="1"/>
      <c r="B59" s="118" t="s">
        <v>12</v>
      </c>
      <c r="C59" s="18" t="s">
        <v>47</v>
      </c>
      <c r="D59" s="19">
        <f t="shared" ref="D59:H59" si="41">D58*D57/10</f>
        <v>1410.85</v>
      </c>
      <c r="E59" s="19">
        <f t="shared" si="41"/>
        <v>2082.4</v>
      </c>
      <c r="F59" s="19">
        <f t="shared" ref="F59" si="42">F58*F57/10</f>
        <v>2082.4</v>
      </c>
      <c r="G59" s="19">
        <f t="shared" si="41"/>
        <v>1858.53</v>
      </c>
      <c r="H59" s="19">
        <f t="shared" si="41"/>
        <v>1793.8799999999999</v>
      </c>
      <c r="I59" s="48">
        <f t="shared" si="29"/>
        <v>96.521444367322559</v>
      </c>
      <c r="J59" s="48">
        <f t="shared" si="30"/>
        <v>86.14483288513253</v>
      </c>
      <c r="K59" s="3"/>
    </row>
    <row r="60" spans="1:11" ht="19.5" customHeight="1">
      <c r="A60" s="1"/>
      <c r="B60" s="118" t="s">
        <v>211</v>
      </c>
      <c r="C60" s="18" t="s">
        <v>20</v>
      </c>
      <c r="D60" s="19">
        <v>122</v>
      </c>
      <c r="E60" s="19">
        <v>122</v>
      </c>
      <c r="F60" s="19">
        <f>73.8+4</f>
        <v>77.8</v>
      </c>
      <c r="G60" s="19">
        <v>107</v>
      </c>
      <c r="H60" s="19">
        <f>90+12</f>
        <v>102</v>
      </c>
      <c r="I60" s="48">
        <f t="shared" si="29"/>
        <v>95.327102803738313</v>
      </c>
      <c r="J60" s="48">
        <f t="shared" si="30"/>
        <v>131.10539845758353</v>
      </c>
      <c r="K60" s="3"/>
    </row>
    <row r="61" spans="1:11" ht="19.5" customHeight="1">
      <c r="A61" s="1"/>
      <c r="B61" s="118" t="s">
        <v>11</v>
      </c>
      <c r="C61" s="18" t="s">
        <v>6</v>
      </c>
      <c r="D61" s="30">
        <v>100</v>
      </c>
      <c r="E61" s="30">
        <v>115</v>
      </c>
      <c r="F61" s="30"/>
      <c r="G61" s="30">
        <v>120</v>
      </c>
      <c r="H61" s="30"/>
      <c r="I61" s="48">
        <f t="shared" si="29"/>
        <v>0</v>
      </c>
      <c r="J61" s="48" t="str">
        <f t="shared" si="30"/>
        <v/>
      </c>
      <c r="K61" s="3"/>
    </row>
    <row r="62" spans="1:11" ht="19.5" customHeight="1">
      <c r="A62" s="1"/>
      <c r="B62" s="118" t="s">
        <v>12</v>
      </c>
      <c r="C62" s="18" t="s">
        <v>47</v>
      </c>
      <c r="D62" s="19">
        <f t="shared" ref="D62:H62" si="43">D61*D60/10</f>
        <v>1220</v>
      </c>
      <c r="E62" s="19">
        <f t="shared" si="43"/>
        <v>1403</v>
      </c>
      <c r="F62" s="66">
        <f t="shared" ref="F62" si="44">F61*F60/10</f>
        <v>0</v>
      </c>
      <c r="G62" s="19">
        <f t="shared" si="43"/>
        <v>1284</v>
      </c>
      <c r="H62" s="66">
        <f t="shared" si="43"/>
        <v>0</v>
      </c>
      <c r="I62" s="48">
        <f t="shared" si="29"/>
        <v>0</v>
      </c>
      <c r="J62" s="48" t="str">
        <f t="shared" si="30"/>
        <v/>
      </c>
      <c r="K62" s="3"/>
    </row>
    <row r="63" spans="1:11" s="15" customFormat="1" ht="31.2">
      <c r="A63" s="8">
        <v>5</v>
      </c>
      <c r="B63" s="12" t="s">
        <v>179</v>
      </c>
      <c r="C63" s="8" t="s">
        <v>20</v>
      </c>
      <c r="D63" s="28">
        <f t="shared" ref="D63:H63" si="45">SUM(D64:D66)</f>
        <v>7.5</v>
      </c>
      <c r="E63" s="28">
        <f t="shared" si="45"/>
        <v>31.2</v>
      </c>
      <c r="F63" s="28">
        <f>SUM(F64:F66)</f>
        <v>15</v>
      </c>
      <c r="G63" s="28">
        <f t="shared" si="45"/>
        <v>32</v>
      </c>
      <c r="H63" s="28">
        <f t="shared" si="45"/>
        <v>38</v>
      </c>
      <c r="I63" s="53">
        <f t="shared" si="29"/>
        <v>118.75</v>
      </c>
      <c r="J63" s="53">
        <f t="shared" si="30"/>
        <v>253.33333333333334</v>
      </c>
      <c r="K63" s="69"/>
    </row>
    <row r="64" spans="1:11" ht="19.5" customHeight="1" outlineLevel="1">
      <c r="A64" s="1"/>
      <c r="B64" s="17" t="s">
        <v>170</v>
      </c>
      <c r="C64" s="1" t="s">
        <v>20</v>
      </c>
      <c r="D64" s="25">
        <v>3.7</v>
      </c>
      <c r="E64" s="25">
        <v>4</v>
      </c>
      <c r="F64" s="25">
        <v>4</v>
      </c>
      <c r="G64" s="25">
        <v>4</v>
      </c>
      <c r="H64" s="25">
        <v>4</v>
      </c>
      <c r="I64" s="48">
        <f t="shared" si="29"/>
        <v>100</v>
      </c>
      <c r="J64" s="48">
        <f t="shared" si="30"/>
        <v>100</v>
      </c>
      <c r="K64" s="3"/>
    </row>
    <row r="65" spans="1:12" ht="19.5" customHeight="1" outlineLevel="1">
      <c r="A65" s="1"/>
      <c r="B65" s="17" t="s">
        <v>171</v>
      </c>
      <c r="C65" s="1" t="s">
        <v>20</v>
      </c>
      <c r="D65" s="25">
        <v>3.8</v>
      </c>
      <c r="E65" s="25">
        <v>4</v>
      </c>
      <c r="F65" s="25">
        <v>2</v>
      </c>
      <c r="G65" s="25">
        <v>4</v>
      </c>
      <c r="H65" s="25">
        <v>3.8</v>
      </c>
      <c r="I65" s="48">
        <f t="shared" si="29"/>
        <v>95</v>
      </c>
      <c r="J65" s="48">
        <f t="shared" si="30"/>
        <v>190</v>
      </c>
      <c r="K65" s="3"/>
    </row>
    <row r="66" spans="1:12" ht="19.5" customHeight="1" outlineLevel="1">
      <c r="A66" s="1"/>
      <c r="B66" s="17" t="s">
        <v>172</v>
      </c>
      <c r="C66" s="1" t="s">
        <v>20</v>
      </c>
      <c r="D66" s="25"/>
      <c r="E66" s="25">
        <v>23.2</v>
      </c>
      <c r="F66" s="25">
        <v>9</v>
      </c>
      <c r="G66" s="25">
        <v>24</v>
      </c>
      <c r="H66" s="25">
        <v>30.2</v>
      </c>
      <c r="I66" s="48">
        <f t="shared" si="29"/>
        <v>125.83333333333333</v>
      </c>
      <c r="J66" s="48">
        <f t="shared" si="30"/>
        <v>335.55555555555554</v>
      </c>
      <c r="K66" s="3"/>
    </row>
    <row r="67" spans="1:12" ht="17.25" customHeight="1">
      <c r="A67" s="21" t="s">
        <v>22</v>
      </c>
      <c r="B67" s="12" t="s">
        <v>52</v>
      </c>
      <c r="C67" s="8" t="s">
        <v>20</v>
      </c>
      <c r="D67" s="24">
        <f>D68+D81+D94</f>
        <v>9814</v>
      </c>
      <c r="E67" s="24">
        <f>E68+E81+E94</f>
        <v>10071.6</v>
      </c>
      <c r="F67" s="24">
        <f>F68+F81+F94</f>
        <v>10029.300000000001</v>
      </c>
      <c r="G67" s="24">
        <f>G68+G81+G94</f>
        <v>10122.1</v>
      </c>
      <c r="H67" s="24">
        <f>H68+H81+H94</f>
        <v>10449.800000000001</v>
      </c>
      <c r="I67" s="53">
        <f t="shared" si="29"/>
        <v>103.23747048537359</v>
      </c>
      <c r="J67" s="53">
        <f t="shared" si="30"/>
        <v>104.19271534404196</v>
      </c>
      <c r="K67" s="3"/>
    </row>
    <row r="68" spans="1:12" s="15" customFormat="1" ht="17.25" customHeight="1">
      <c r="A68" s="21">
        <v>1</v>
      </c>
      <c r="B68" s="20" t="s">
        <v>199</v>
      </c>
      <c r="C68" s="8" t="s">
        <v>20</v>
      </c>
      <c r="D68" s="24">
        <f t="shared" ref="D68:H68" si="46">D69+D75</f>
        <v>9537.2999999999993</v>
      </c>
      <c r="E68" s="24">
        <f t="shared" si="46"/>
        <v>9722.1</v>
      </c>
      <c r="F68" s="24">
        <f t="shared" ref="F68" si="47">F69+F75</f>
        <v>9722.1</v>
      </c>
      <c r="G68" s="24">
        <f t="shared" si="46"/>
        <v>9772.1</v>
      </c>
      <c r="H68" s="24">
        <f t="shared" si="46"/>
        <v>10029.6</v>
      </c>
      <c r="I68" s="53">
        <f t="shared" si="29"/>
        <v>102.63505285455531</v>
      </c>
      <c r="J68" s="53">
        <f t="shared" si="30"/>
        <v>103.16289690498967</v>
      </c>
      <c r="K68" s="69"/>
    </row>
    <row r="69" spans="1:12" s="15" customFormat="1" ht="17.25" customHeight="1">
      <c r="A69" s="8" t="s">
        <v>17</v>
      </c>
      <c r="B69" s="12" t="s">
        <v>196</v>
      </c>
      <c r="C69" s="8" t="s">
        <v>20</v>
      </c>
      <c r="D69" s="13">
        <v>1743.8</v>
      </c>
      <c r="E69" s="13">
        <f>D69+E70</f>
        <v>1919.5</v>
      </c>
      <c r="F69" s="13">
        <f>D69+F70-F71</f>
        <v>1919.5</v>
      </c>
      <c r="G69" s="13">
        <f>E69+G70-G71</f>
        <v>1969.5</v>
      </c>
      <c r="H69" s="13">
        <f>E69+H70-H71</f>
        <v>2299.5</v>
      </c>
      <c r="I69" s="53">
        <f t="shared" si="29"/>
        <v>116.75552170601675</v>
      </c>
      <c r="J69" s="53">
        <f t="shared" si="30"/>
        <v>119.79682208908569</v>
      </c>
      <c r="K69" s="69"/>
    </row>
    <row r="70" spans="1:12" ht="17.25" customHeight="1">
      <c r="A70" s="1"/>
      <c r="B70" s="17" t="s">
        <v>53</v>
      </c>
      <c r="C70" s="1" t="s">
        <v>20</v>
      </c>
      <c r="D70" s="30">
        <v>185.9</v>
      </c>
      <c r="E70" s="30">
        <v>175.7</v>
      </c>
      <c r="F70" s="30">
        <v>175.7</v>
      </c>
      <c r="G70" s="30">
        <v>50</v>
      </c>
      <c r="H70" s="30">
        <v>381</v>
      </c>
      <c r="I70" s="48">
        <f t="shared" si="29"/>
        <v>762</v>
      </c>
      <c r="J70" s="48">
        <f t="shared" si="30"/>
        <v>216.84689812179855</v>
      </c>
      <c r="K70" s="3"/>
    </row>
    <row r="71" spans="1:12" ht="17.25" customHeight="1">
      <c r="A71" s="1"/>
      <c r="B71" s="17" t="s">
        <v>116</v>
      </c>
      <c r="C71" s="1" t="s">
        <v>20</v>
      </c>
      <c r="D71" s="30"/>
      <c r="E71" s="30"/>
      <c r="F71" s="30"/>
      <c r="G71" s="30"/>
      <c r="H71" s="30">
        <v>1</v>
      </c>
      <c r="I71" s="48"/>
      <c r="J71" s="48"/>
      <c r="K71" s="3"/>
    </row>
    <row r="72" spans="1:12" ht="17.25" customHeight="1">
      <c r="A72" s="1"/>
      <c r="B72" s="17" t="s">
        <v>54</v>
      </c>
      <c r="C72" s="1" t="s">
        <v>20</v>
      </c>
      <c r="D72" s="19">
        <v>1246</v>
      </c>
      <c r="E72" s="19">
        <v>1384</v>
      </c>
      <c r="F72" s="19">
        <v>1352.4</v>
      </c>
      <c r="G72" s="19">
        <v>1559</v>
      </c>
      <c r="H72" s="19">
        <v>1558</v>
      </c>
      <c r="I72" s="48">
        <f t="shared" ref="I72:I115" si="48">IFERROR(H72/G72%,"")</f>
        <v>99.935856318152659</v>
      </c>
      <c r="J72" s="48">
        <f t="shared" ref="J72:J115" si="49">IFERROR(H72/F72%,"")</f>
        <v>115.20260278024253</v>
      </c>
      <c r="K72" s="3"/>
      <c r="L72" s="67"/>
    </row>
    <row r="73" spans="1:12" ht="17.25" customHeight="1">
      <c r="A73" s="1"/>
      <c r="B73" s="17" t="s">
        <v>55</v>
      </c>
      <c r="C73" s="1" t="s">
        <v>6</v>
      </c>
      <c r="D73" s="30">
        <v>31.73</v>
      </c>
      <c r="E73" s="30">
        <v>35.65</v>
      </c>
      <c r="F73" s="30"/>
      <c r="G73" s="30">
        <v>35</v>
      </c>
      <c r="H73" s="30"/>
      <c r="I73" s="48">
        <f t="shared" si="48"/>
        <v>0</v>
      </c>
      <c r="J73" s="48" t="str">
        <f t="shared" si="49"/>
        <v/>
      </c>
      <c r="K73" s="3"/>
    </row>
    <row r="74" spans="1:12" ht="17.25" customHeight="1">
      <c r="A74" s="1"/>
      <c r="B74" s="17" t="s">
        <v>115</v>
      </c>
      <c r="C74" s="1" t="s">
        <v>47</v>
      </c>
      <c r="D74" s="19">
        <f>D72*D73/10</f>
        <v>3953.558</v>
      </c>
      <c r="E74" s="19">
        <f>E72*E73/10</f>
        <v>4933.96</v>
      </c>
      <c r="F74" s="66">
        <f>F72*F73/10</f>
        <v>0</v>
      </c>
      <c r="G74" s="19">
        <f>G72*G73/10</f>
        <v>5456.5</v>
      </c>
      <c r="H74" s="66">
        <f t="shared" ref="H74" si="50">H72*H73/10</f>
        <v>0</v>
      </c>
      <c r="I74" s="48">
        <f t="shared" si="48"/>
        <v>0</v>
      </c>
      <c r="J74" s="48" t="str">
        <f t="shared" si="49"/>
        <v/>
      </c>
      <c r="K74" s="3"/>
    </row>
    <row r="75" spans="1:12" s="15" customFormat="1" ht="17.25" customHeight="1">
      <c r="A75" s="8" t="s">
        <v>18</v>
      </c>
      <c r="B75" s="12" t="s">
        <v>197</v>
      </c>
      <c r="C75" s="8" t="s">
        <v>20</v>
      </c>
      <c r="D75" s="13">
        <v>7793.5</v>
      </c>
      <c r="E75" s="13">
        <f>D75+E76-E77</f>
        <v>7802.6</v>
      </c>
      <c r="F75" s="13">
        <f>D75+F76-F77</f>
        <v>7802.6</v>
      </c>
      <c r="G75" s="13">
        <f>E75+G76-G77</f>
        <v>7802.6</v>
      </c>
      <c r="H75" s="13">
        <f>E75+H76-H77</f>
        <v>7730.1</v>
      </c>
      <c r="I75" s="53">
        <f t="shared" si="48"/>
        <v>99.070822546330703</v>
      </c>
      <c r="J75" s="53">
        <f t="shared" si="49"/>
        <v>99.070822546330703</v>
      </c>
      <c r="K75" s="69"/>
    </row>
    <row r="76" spans="1:12" ht="17.25" customHeight="1">
      <c r="A76" s="1"/>
      <c r="B76" s="17" t="s">
        <v>53</v>
      </c>
      <c r="C76" s="1" t="s">
        <v>20</v>
      </c>
      <c r="D76" s="35">
        <v>0</v>
      </c>
      <c r="E76" s="25">
        <v>24.6</v>
      </c>
      <c r="F76" s="35">
        <v>24.6</v>
      </c>
      <c r="G76" s="35"/>
      <c r="H76" s="35">
        <v>38.299999999999997</v>
      </c>
      <c r="I76" s="48" t="str">
        <f t="shared" si="48"/>
        <v/>
      </c>
      <c r="J76" s="48">
        <f t="shared" si="49"/>
        <v>155.69105691056907</v>
      </c>
      <c r="K76" s="3"/>
    </row>
    <row r="77" spans="1:12" ht="17.25" customHeight="1">
      <c r="A77" s="1"/>
      <c r="B77" s="17" t="s">
        <v>116</v>
      </c>
      <c r="C77" s="1" t="s">
        <v>20</v>
      </c>
      <c r="D77" s="25">
        <v>81.5</v>
      </c>
      <c r="E77" s="25">
        <v>15.5</v>
      </c>
      <c r="F77" s="35">
        <v>15.5</v>
      </c>
      <c r="G77" s="35"/>
      <c r="H77" s="35">
        <v>110.8</v>
      </c>
      <c r="I77" s="48" t="str">
        <f t="shared" si="48"/>
        <v/>
      </c>
      <c r="J77" s="48">
        <f t="shared" si="49"/>
        <v>714.83870967741939</v>
      </c>
      <c r="K77" s="3"/>
    </row>
    <row r="78" spans="1:12" ht="17.25" customHeight="1">
      <c r="A78" s="1"/>
      <c r="B78" s="17" t="s">
        <v>54</v>
      </c>
      <c r="C78" s="1" t="s">
        <v>20</v>
      </c>
      <c r="D78" s="19">
        <v>4821</v>
      </c>
      <c r="E78" s="19">
        <v>5385</v>
      </c>
      <c r="F78" s="19">
        <v>5385</v>
      </c>
      <c r="G78" s="19">
        <v>5755</v>
      </c>
      <c r="H78" s="19">
        <v>5723.7</v>
      </c>
      <c r="I78" s="48">
        <f t="shared" si="48"/>
        <v>99.456125108601213</v>
      </c>
      <c r="J78" s="48">
        <f t="shared" si="49"/>
        <v>106.28969359331475</v>
      </c>
      <c r="K78" s="3"/>
    </row>
    <row r="79" spans="1:12" ht="17.25" customHeight="1">
      <c r="A79" s="1"/>
      <c r="B79" s="17" t="s">
        <v>56</v>
      </c>
      <c r="C79" s="1" t="s">
        <v>6</v>
      </c>
      <c r="D79" s="30">
        <v>12.33</v>
      </c>
      <c r="E79" s="30">
        <v>12.35</v>
      </c>
      <c r="F79" s="30">
        <v>12.35</v>
      </c>
      <c r="G79" s="30">
        <v>12.5</v>
      </c>
      <c r="H79" s="30">
        <v>12.5</v>
      </c>
      <c r="I79" s="48">
        <f t="shared" si="48"/>
        <v>100</v>
      </c>
      <c r="J79" s="48">
        <f t="shared" si="49"/>
        <v>101.21457489878543</v>
      </c>
      <c r="K79" s="3"/>
    </row>
    <row r="80" spans="1:12" ht="17.25" customHeight="1">
      <c r="A80" s="1"/>
      <c r="B80" s="17" t="s">
        <v>225</v>
      </c>
      <c r="C80" s="1" t="s">
        <v>47</v>
      </c>
      <c r="D80" s="19">
        <f>D78*D79/10</f>
        <v>5944.2929999999997</v>
      </c>
      <c r="E80" s="19">
        <f>E78*E79/10</f>
        <v>6650.4750000000004</v>
      </c>
      <c r="F80" s="19">
        <f>F78*F79/10</f>
        <v>6650.4750000000004</v>
      </c>
      <c r="G80" s="19">
        <f>G78*G79/10</f>
        <v>7193.75</v>
      </c>
      <c r="H80" s="19">
        <f t="shared" ref="H80" si="51">H78*H79/10</f>
        <v>7154.625</v>
      </c>
      <c r="I80" s="48">
        <f t="shared" si="48"/>
        <v>99.456125108601213</v>
      </c>
      <c r="J80" s="48">
        <f t="shared" si="49"/>
        <v>107.5806615316951</v>
      </c>
      <c r="K80" s="3"/>
    </row>
    <row r="81" spans="1:12" s="15" customFormat="1" ht="17.25" customHeight="1">
      <c r="A81" s="8">
        <v>2</v>
      </c>
      <c r="B81" s="12" t="s">
        <v>78</v>
      </c>
      <c r="C81" s="8" t="s">
        <v>20</v>
      </c>
      <c r="D81" s="13">
        <v>155.19999999999999</v>
      </c>
      <c r="E81" s="13">
        <v>218.9</v>
      </c>
      <c r="F81" s="13">
        <f>F82+F87+F91+F92+F93</f>
        <v>183.5</v>
      </c>
      <c r="G81" s="13">
        <v>220</v>
      </c>
      <c r="H81" s="13">
        <f>H82+H87+H91+H92+H93</f>
        <v>294.5</v>
      </c>
      <c r="I81" s="53">
        <f t="shared" si="48"/>
        <v>133.86363636363635</v>
      </c>
      <c r="J81" s="53">
        <f t="shared" si="49"/>
        <v>160.49046321525887</v>
      </c>
      <c r="K81" s="69"/>
    </row>
    <row r="82" spans="1:12" s="237" customFormat="1" ht="17.25" hidden="1" customHeight="1" outlineLevel="1">
      <c r="A82" s="80" t="s">
        <v>17</v>
      </c>
      <c r="B82" s="242" t="s">
        <v>490</v>
      </c>
      <c r="C82" s="243" t="s">
        <v>20</v>
      </c>
      <c r="D82" s="244"/>
      <c r="E82" s="235"/>
      <c r="F82" s="244">
        <f>F83+F84+F85+F86</f>
        <v>162.5</v>
      </c>
      <c r="G82" s="238"/>
      <c r="H82" s="244">
        <f>H83+H84+H85+H86</f>
        <v>162.30000000000001</v>
      </c>
      <c r="I82" s="239" t="str">
        <f t="shared" ref="I82:I93" si="52">IFERROR(H82/G82%,"")</f>
        <v/>
      </c>
      <c r="J82" s="134">
        <f t="shared" ref="J82:J93" si="53">IFERROR(H82/F82%,"")</f>
        <v>99.876923076923077</v>
      </c>
      <c r="K82" s="236"/>
    </row>
    <row r="83" spans="1:12" s="15" customFormat="1" ht="17.25" hidden="1" customHeight="1" outlineLevel="1">
      <c r="A83" s="8"/>
      <c r="B83" s="245" t="s">
        <v>483</v>
      </c>
      <c r="C83" s="246" t="s">
        <v>20</v>
      </c>
      <c r="D83" s="247"/>
      <c r="E83" s="13"/>
      <c r="F83" s="247">
        <v>10</v>
      </c>
      <c r="G83" s="240"/>
      <c r="H83" s="247">
        <v>10.3</v>
      </c>
      <c r="I83" s="241" t="str">
        <f t="shared" si="52"/>
        <v/>
      </c>
      <c r="J83" s="48">
        <f t="shared" si="53"/>
        <v>103</v>
      </c>
      <c r="K83" s="69"/>
    </row>
    <row r="84" spans="1:12" s="15" customFormat="1" ht="17.25" hidden="1" customHeight="1" outlineLevel="1">
      <c r="A84" s="8"/>
      <c r="B84" s="245" t="s">
        <v>484</v>
      </c>
      <c r="C84" s="246" t="s">
        <v>20</v>
      </c>
      <c r="D84" s="247"/>
      <c r="E84" s="13"/>
      <c r="F84" s="247">
        <v>115</v>
      </c>
      <c r="G84" s="240"/>
      <c r="H84" s="247">
        <v>114.5</v>
      </c>
      <c r="I84" s="241" t="str">
        <f t="shared" si="52"/>
        <v/>
      </c>
      <c r="J84" s="48">
        <f t="shared" si="53"/>
        <v>99.565217391304358</v>
      </c>
      <c r="K84" s="69"/>
    </row>
    <row r="85" spans="1:12" s="15" customFormat="1" ht="17.25" hidden="1" customHeight="1" outlineLevel="1">
      <c r="A85" s="8"/>
      <c r="B85" s="245" t="s">
        <v>485</v>
      </c>
      <c r="C85" s="246" t="s">
        <v>20</v>
      </c>
      <c r="D85" s="247"/>
      <c r="E85" s="13"/>
      <c r="F85" s="247">
        <v>30.5</v>
      </c>
      <c r="G85" s="240"/>
      <c r="H85" s="247">
        <v>30.5</v>
      </c>
      <c r="I85" s="241" t="str">
        <f t="shared" si="52"/>
        <v/>
      </c>
      <c r="J85" s="48">
        <f t="shared" si="53"/>
        <v>100</v>
      </c>
      <c r="K85" s="69"/>
    </row>
    <row r="86" spans="1:12" s="15" customFormat="1" ht="17.25" hidden="1" customHeight="1" outlineLevel="1">
      <c r="A86" s="8"/>
      <c r="B86" s="245" t="s">
        <v>486</v>
      </c>
      <c r="C86" s="246" t="s">
        <v>20</v>
      </c>
      <c r="D86" s="247"/>
      <c r="E86" s="13"/>
      <c r="F86" s="247">
        <v>7</v>
      </c>
      <c r="G86" s="240"/>
      <c r="H86" s="247">
        <v>7</v>
      </c>
      <c r="I86" s="241" t="str">
        <f t="shared" si="52"/>
        <v/>
      </c>
      <c r="J86" s="48">
        <f t="shared" si="53"/>
        <v>99.999999999999986</v>
      </c>
      <c r="K86" s="69"/>
    </row>
    <row r="87" spans="1:12" s="237" customFormat="1" ht="17.25" hidden="1" customHeight="1" outlineLevel="1">
      <c r="A87" s="80" t="s">
        <v>18</v>
      </c>
      <c r="B87" s="242" t="s">
        <v>491</v>
      </c>
      <c r="C87" s="243" t="s">
        <v>20</v>
      </c>
      <c r="D87" s="244"/>
      <c r="E87" s="235"/>
      <c r="F87" s="244">
        <f>SUM(F88:F90)</f>
        <v>6</v>
      </c>
      <c r="G87" s="238"/>
      <c r="H87" s="244">
        <f>SUM(H88:H90)</f>
        <v>116.5</v>
      </c>
      <c r="I87" s="239" t="str">
        <f t="shared" si="52"/>
        <v/>
      </c>
      <c r="J87" s="134">
        <f t="shared" si="53"/>
        <v>1941.6666666666667</v>
      </c>
      <c r="K87" s="236"/>
    </row>
    <row r="88" spans="1:12" s="15" customFormat="1" ht="17.25" hidden="1" customHeight="1" outlineLevel="1">
      <c r="A88" s="8"/>
      <c r="B88" s="245" t="s">
        <v>487</v>
      </c>
      <c r="C88" s="246" t="s">
        <v>20</v>
      </c>
      <c r="D88" s="247"/>
      <c r="E88" s="13"/>
      <c r="F88" s="247">
        <v>1</v>
      </c>
      <c r="G88" s="240"/>
      <c r="H88" s="247">
        <v>0.8</v>
      </c>
      <c r="I88" s="241" t="str">
        <f t="shared" si="52"/>
        <v/>
      </c>
      <c r="J88" s="48">
        <f t="shared" si="53"/>
        <v>80</v>
      </c>
      <c r="K88" s="69"/>
    </row>
    <row r="89" spans="1:12" s="15" customFormat="1" ht="17.25" hidden="1" customHeight="1" outlineLevel="1">
      <c r="A89" s="8"/>
      <c r="B89" s="245" t="s">
        <v>488</v>
      </c>
      <c r="C89" s="246" t="s">
        <v>20</v>
      </c>
      <c r="D89" s="247"/>
      <c r="E89" s="13"/>
      <c r="F89" s="247">
        <v>5</v>
      </c>
      <c r="G89" s="240"/>
      <c r="H89" s="247">
        <v>4.2</v>
      </c>
      <c r="I89" s="241" t="str">
        <f t="shared" si="52"/>
        <v/>
      </c>
      <c r="J89" s="48">
        <f t="shared" si="53"/>
        <v>84</v>
      </c>
      <c r="K89" s="69"/>
    </row>
    <row r="90" spans="1:12" s="15" customFormat="1" ht="17.25" hidden="1" customHeight="1" outlineLevel="1">
      <c r="A90" s="8"/>
      <c r="B90" s="245" t="s">
        <v>489</v>
      </c>
      <c r="C90" s="246" t="s">
        <v>20</v>
      </c>
      <c r="D90" s="247"/>
      <c r="E90" s="13"/>
      <c r="F90" s="247">
        <v>0</v>
      </c>
      <c r="G90" s="240"/>
      <c r="H90" s="247">
        <v>111.5</v>
      </c>
      <c r="I90" s="241" t="str">
        <f t="shared" si="52"/>
        <v/>
      </c>
      <c r="J90" s="48" t="str">
        <f t="shared" si="53"/>
        <v/>
      </c>
      <c r="K90" s="69"/>
    </row>
    <row r="91" spans="1:12" s="237" customFormat="1" ht="17.25" hidden="1" customHeight="1" outlineLevel="1">
      <c r="A91" s="80" t="s">
        <v>19</v>
      </c>
      <c r="B91" s="242" t="s">
        <v>493</v>
      </c>
      <c r="C91" s="243" t="s">
        <v>20</v>
      </c>
      <c r="D91" s="244"/>
      <c r="E91" s="235"/>
      <c r="F91" s="244">
        <v>0</v>
      </c>
      <c r="G91" s="238"/>
      <c r="H91" s="244">
        <v>0</v>
      </c>
      <c r="I91" s="239" t="str">
        <f t="shared" si="52"/>
        <v/>
      </c>
      <c r="J91" s="134" t="str">
        <f t="shared" si="53"/>
        <v/>
      </c>
      <c r="K91" s="236"/>
    </row>
    <row r="92" spans="1:12" s="237" customFormat="1" ht="17.25" hidden="1" customHeight="1" outlineLevel="1">
      <c r="A92" s="80" t="s">
        <v>30</v>
      </c>
      <c r="B92" s="242" t="s">
        <v>494</v>
      </c>
      <c r="C92" s="243" t="s">
        <v>20</v>
      </c>
      <c r="D92" s="244"/>
      <c r="E92" s="235"/>
      <c r="F92" s="244">
        <v>8.5</v>
      </c>
      <c r="G92" s="238"/>
      <c r="H92" s="244">
        <v>8.6999999999999993</v>
      </c>
      <c r="I92" s="239" t="str">
        <f t="shared" si="52"/>
        <v/>
      </c>
      <c r="J92" s="134">
        <f t="shared" si="53"/>
        <v>102.35294117647057</v>
      </c>
      <c r="K92" s="236"/>
    </row>
    <row r="93" spans="1:12" s="237" customFormat="1" ht="17.25" hidden="1" customHeight="1" outlineLevel="1">
      <c r="A93" s="80" t="s">
        <v>492</v>
      </c>
      <c r="B93" s="242" t="s">
        <v>495</v>
      </c>
      <c r="C93" s="243" t="s">
        <v>20</v>
      </c>
      <c r="D93" s="244"/>
      <c r="E93" s="235"/>
      <c r="F93" s="244">
        <v>6.5</v>
      </c>
      <c r="G93" s="238"/>
      <c r="H93" s="244">
        <v>7</v>
      </c>
      <c r="I93" s="239" t="str">
        <f t="shared" si="52"/>
        <v/>
      </c>
      <c r="J93" s="134">
        <f t="shared" si="53"/>
        <v>107.69230769230769</v>
      </c>
      <c r="K93" s="236"/>
    </row>
    <row r="94" spans="1:12" s="15" customFormat="1" ht="31.2" collapsed="1">
      <c r="A94" s="8">
        <v>3</v>
      </c>
      <c r="B94" s="12" t="s">
        <v>178</v>
      </c>
      <c r="C94" s="8" t="s">
        <v>20</v>
      </c>
      <c r="D94" s="13">
        <f t="shared" ref="D94:H94" si="54">SUM(D95:D99)</f>
        <v>121.5</v>
      </c>
      <c r="E94" s="13">
        <f t="shared" si="54"/>
        <v>130.60000000000002</v>
      </c>
      <c r="F94" s="13">
        <f t="shared" si="54"/>
        <v>123.7</v>
      </c>
      <c r="G94" s="13">
        <f t="shared" si="54"/>
        <v>130</v>
      </c>
      <c r="H94" s="13">
        <f t="shared" si="54"/>
        <v>125.7</v>
      </c>
      <c r="I94" s="53">
        <f t="shared" si="48"/>
        <v>96.692307692307693</v>
      </c>
      <c r="J94" s="53">
        <f t="shared" si="49"/>
        <v>101.61681487469684</v>
      </c>
      <c r="K94" s="69"/>
      <c r="L94" s="73"/>
    </row>
    <row r="95" spans="1:12" ht="17.25" hidden="1" customHeight="1" outlineLevel="1">
      <c r="A95" s="1"/>
      <c r="B95" s="17" t="s">
        <v>173</v>
      </c>
      <c r="C95" s="1" t="s">
        <v>20</v>
      </c>
      <c r="D95" s="30">
        <v>18.5</v>
      </c>
      <c r="E95" s="30">
        <v>17</v>
      </c>
      <c r="F95" s="30">
        <v>10</v>
      </c>
      <c r="G95" s="30">
        <v>17</v>
      </c>
      <c r="H95" s="30">
        <v>14</v>
      </c>
      <c r="I95" s="48">
        <f t="shared" si="48"/>
        <v>82.35294117647058</v>
      </c>
      <c r="J95" s="48">
        <f t="shared" si="49"/>
        <v>140</v>
      </c>
      <c r="K95" s="3"/>
    </row>
    <row r="96" spans="1:12" ht="17.25" hidden="1" customHeight="1" outlineLevel="1">
      <c r="A96" s="1"/>
      <c r="B96" s="17" t="s">
        <v>174</v>
      </c>
      <c r="C96" s="1" t="s">
        <v>20</v>
      </c>
      <c r="D96" s="30">
        <v>54.6</v>
      </c>
      <c r="E96" s="30">
        <v>61.9</v>
      </c>
      <c r="F96" s="30">
        <v>62</v>
      </c>
      <c r="G96" s="30">
        <v>62</v>
      </c>
      <c r="H96" s="30">
        <f t="shared" ref="H96:H97" si="55">G96</f>
        <v>62</v>
      </c>
      <c r="I96" s="48">
        <f t="shared" si="48"/>
        <v>100</v>
      </c>
      <c r="J96" s="48">
        <f t="shared" si="49"/>
        <v>100</v>
      </c>
      <c r="K96" s="3"/>
    </row>
    <row r="97" spans="1:11" ht="17.25" hidden="1" customHeight="1" outlineLevel="1">
      <c r="A97" s="1"/>
      <c r="B97" s="17" t="s">
        <v>175</v>
      </c>
      <c r="C97" s="1" t="s">
        <v>20</v>
      </c>
      <c r="D97" s="30">
        <v>2</v>
      </c>
      <c r="E97" s="30">
        <v>2</v>
      </c>
      <c r="F97" s="30">
        <v>2</v>
      </c>
      <c r="G97" s="30">
        <v>2</v>
      </c>
      <c r="H97" s="30">
        <f t="shared" si="55"/>
        <v>2</v>
      </c>
      <c r="I97" s="48">
        <f t="shared" si="48"/>
        <v>100</v>
      </c>
      <c r="J97" s="48">
        <f t="shared" si="49"/>
        <v>100</v>
      </c>
      <c r="K97" s="3"/>
    </row>
    <row r="98" spans="1:11" ht="17.25" hidden="1" customHeight="1" outlineLevel="1">
      <c r="A98" s="1"/>
      <c r="B98" s="17" t="s">
        <v>176</v>
      </c>
      <c r="C98" s="1" t="s">
        <v>20</v>
      </c>
      <c r="D98" s="30">
        <v>46.4</v>
      </c>
      <c r="E98" s="30">
        <v>30.4</v>
      </c>
      <c r="F98" s="30">
        <v>30.4</v>
      </c>
      <c r="G98" s="30">
        <v>30</v>
      </c>
      <c r="H98" s="30">
        <v>28.4</v>
      </c>
      <c r="I98" s="48">
        <f t="shared" si="48"/>
        <v>94.666666666666671</v>
      </c>
      <c r="J98" s="48">
        <f t="shared" si="49"/>
        <v>93.421052631578945</v>
      </c>
      <c r="K98" s="3"/>
    </row>
    <row r="99" spans="1:11" ht="17.25" hidden="1" customHeight="1" outlineLevel="1">
      <c r="A99" s="1"/>
      <c r="B99" s="17" t="s">
        <v>177</v>
      </c>
      <c r="C99" s="1" t="s">
        <v>20</v>
      </c>
      <c r="D99" s="30"/>
      <c r="E99" s="30">
        <v>19.3</v>
      </c>
      <c r="F99" s="30">
        <v>19.3</v>
      </c>
      <c r="G99" s="30">
        <v>19</v>
      </c>
      <c r="H99" s="30">
        <v>19.3</v>
      </c>
      <c r="I99" s="48">
        <f t="shared" si="48"/>
        <v>101.57894736842105</v>
      </c>
      <c r="J99" s="48">
        <f t="shared" si="49"/>
        <v>100</v>
      </c>
      <c r="K99" s="3"/>
    </row>
    <row r="100" spans="1:11" ht="18.75" customHeight="1" collapsed="1">
      <c r="A100" s="8" t="s">
        <v>25</v>
      </c>
      <c r="B100" s="12" t="s">
        <v>48</v>
      </c>
      <c r="C100" s="1"/>
      <c r="D100" s="25"/>
      <c r="E100" s="30"/>
      <c r="F100" s="30"/>
      <c r="G100" s="30"/>
      <c r="H100" s="30"/>
      <c r="I100" s="53" t="str">
        <f t="shared" si="48"/>
        <v/>
      </c>
      <c r="J100" s="53" t="str">
        <f t="shared" si="49"/>
        <v/>
      </c>
      <c r="K100" s="3"/>
    </row>
    <row r="101" spans="1:11" ht="18.75" customHeight="1">
      <c r="A101" s="8">
        <v>1</v>
      </c>
      <c r="B101" s="12" t="s">
        <v>198</v>
      </c>
      <c r="C101" s="8" t="s">
        <v>31</v>
      </c>
      <c r="D101" s="24">
        <f>SUM(D102:D104)</f>
        <v>20219</v>
      </c>
      <c r="E101" s="24">
        <f t="shared" ref="E101:H101" si="56">SUM(E102:E104)</f>
        <v>18350</v>
      </c>
      <c r="F101" s="24">
        <f t="shared" ref="F101" si="57">SUM(F102:F104)</f>
        <v>19785</v>
      </c>
      <c r="G101" s="24">
        <f t="shared" si="56"/>
        <v>20650</v>
      </c>
      <c r="H101" s="24">
        <f t="shared" si="56"/>
        <v>20195</v>
      </c>
      <c r="I101" s="53">
        <f t="shared" si="48"/>
        <v>97.79661016949153</v>
      </c>
      <c r="J101" s="53">
        <f t="shared" si="49"/>
        <v>102.07227697750821</v>
      </c>
      <c r="K101" s="69"/>
    </row>
    <row r="102" spans="1:11" ht="18.75" customHeight="1">
      <c r="A102" s="1"/>
      <c r="B102" s="17" t="s">
        <v>117</v>
      </c>
      <c r="C102" s="1" t="s">
        <v>31</v>
      </c>
      <c r="D102" s="26">
        <v>2461</v>
      </c>
      <c r="E102" s="26">
        <v>2550</v>
      </c>
      <c r="F102" s="26">
        <v>2544</v>
      </c>
      <c r="G102" s="26">
        <v>2650</v>
      </c>
      <c r="H102" s="26">
        <v>2536</v>
      </c>
      <c r="I102" s="48">
        <f>IFERROR(H102/G102%,"")</f>
        <v>95.698113207547166</v>
      </c>
      <c r="J102" s="48">
        <f t="shared" si="49"/>
        <v>99.685534591194966</v>
      </c>
      <c r="K102" s="3"/>
    </row>
    <row r="103" spans="1:11" ht="18.75" customHeight="1">
      <c r="A103" s="1"/>
      <c r="B103" s="17" t="s">
        <v>118</v>
      </c>
      <c r="C103" s="1" t="s">
        <v>31</v>
      </c>
      <c r="D103" s="26">
        <v>4034</v>
      </c>
      <c r="E103" s="26">
        <v>4800</v>
      </c>
      <c r="F103" s="26">
        <v>4287</v>
      </c>
      <c r="G103" s="26">
        <v>5000</v>
      </c>
      <c r="H103" s="26">
        <v>5086</v>
      </c>
      <c r="I103" s="48">
        <f t="shared" si="48"/>
        <v>101.72</v>
      </c>
      <c r="J103" s="48">
        <f t="shared" si="49"/>
        <v>118.63774201073012</v>
      </c>
      <c r="K103" s="3"/>
    </row>
    <row r="104" spans="1:11" ht="18.75" customHeight="1">
      <c r="A104" s="1"/>
      <c r="B104" s="17" t="s">
        <v>119</v>
      </c>
      <c r="C104" s="1" t="s">
        <v>31</v>
      </c>
      <c r="D104" s="26">
        <v>13724</v>
      </c>
      <c r="E104" s="26">
        <v>11000</v>
      </c>
      <c r="F104" s="26">
        <v>12954</v>
      </c>
      <c r="G104" s="26">
        <v>13000</v>
      </c>
      <c r="H104" s="26">
        <v>12573</v>
      </c>
      <c r="I104" s="48">
        <f t="shared" si="48"/>
        <v>96.715384615384622</v>
      </c>
      <c r="J104" s="48">
        <f t="shared" si="49"/>
        <v>97.058823529411768</v>
      </c>
      <c r="K104" s="3"/>
    </row>
    <row r="105" spans="1:11" ht="18.75" customHeight="1">
      <c r="A105" s="8">
        <v>2</v>
      </c>
      <c r="B105" s="36" t="s">
        <v>15</v>
      </c>
      <c r="C105" s="8" t="s">
        <v>31</v>
      </c>
      <c r="D105" s="24">
        <v>77894</v>
      </c>
      <c r="E105" s="24">
        <v>87000</v>
      </c>
      <c r="F105" s="24">
        <v>79500</v>
      </c>
      <c r="G105" s="24">
        <v>87000</v>
      </c>
      <c r="H105" s="24">
        <v>84800</v>
      </c>
      <c r="I105" s="53">
        <f t="shared" si="48"/>
        <v>97.47126436781609</v>
      </c>
      <c r="J105" s="53">
        <f>IFERROR(H105/F105%,"")</f>
        <v>106.66666666666667</v>
      </c>
      <c r="K105" s="69"/>
    </row>
    <row r="106" spans="1:11" s="15" customFormat="1" ht="18.75" customHeight="1">
      <c r="A106" s="8" t="s">
        <v>26</v>
      </c>
      <c r="B106" s="36" t="s">
        <v>120</v>
      </c>
      <c r="C106" s="8"/>
      <c r="D106" s="24"/>
      <c r="E106" s="24"/>
      <c r="F106" s="24"/>
      <c r="G106" s="24"/>
      <c r="H106" s="24"/>
      <c r="I106" s="53" t="str">
        <f t="shared" si="48"/>
        <v/>
      </c>
      <c r="J106" s="53" t="str">
        <f t="shared" si="49"/>
        <v/>
      </c>
      <c r="K106" s="69"/>
    </row>
    <row r="107" spans="1:11" ht="18.75" customHeight="1">
      <c r="A107" s="1">
        <v>1</v>
      </c>
      <c r="B107" s="29" t="s">
        <v>121</v>
      </c>
      <c r="C107" s="1" t="s">
        <v>20</v>
      </c>
      <c r="D107" s="25">
        <v>85</v>
      </c>
      <c r="E107" s="25">
        <v>85.5</v>
      </c>
      <c r="F107" s="25">
        <v>85.5</v>
      </c>
      <c r="G107" s="25">
        <v>85.5</v>
      </c>
      <c r="H107" s="25">
        <v>89.100000000000009</v>
      </c>
      <c r="I107" s="48">
        <f t="shared" si="48"/>
        <v>104.21052631578948</v>
      </c>
      <c r="J107" s="48">
        <f t="shared" si="49"/>
        <v>104.21052631578948</v>
      </c>
      <c r="K107" s="3"/>
    </row>
    <row r="108" spans="1:11" ht="18.75" customHeight="1">
      <c r="A108" s="1">
        <v>2</v>
      </c>
      <c r="B108" s="29" t="s">
        <v>122</v>
      </c>
      <c r="C108" s="1" t="s">
        <v>47</v>
      </c>
      <c r="D108" s="26">
        <f t="shared" ref="D108:H108" si="58">D109+D110</f>
        <v>427.4</v>
      </c>
      <c r="E108" s="26">
        <f t="shared" si="58"/>
        <v>320</v>
      </c>
      <c r="F108" s="26">
        <f t="shared" ref="F108" si="59">F109+F110</f>
        <v>159</v>
      </c>
      <c r="G108" s="26">
        <f t="shared" si="58"/>
        <v>335</v>
      </c>
      <c r="H108" s="26">
        <f t="shared" si="58"/>
        <v>184</v>
      </c>
      <c r="I108" s="48">
        <f t="shared" si="48"/>
        <v>54.925373134328353</v>
      </c>
      <c r="J108" s="48">
        <f t="shared" si="49"/>
        <v>115.72327044025157</v>
      </c>
      <c r="K108" s="3"/>
    </row>
    <row r="109" spans="1:11" ht="18.75" customHeight="1">
      <c r="A109" s="1"/>
      <c r="B109" s="38" t="s">
        <v>123</v>
      </c>
      <c r="C109" s="1" t="s">
        <v>47</v>
      </c>
      <c r="D109" s="26">
        <v>211.9</v>
      </c>
      <c r="E109" s="26">
        <v>210</v>
      </c>
      <c r="F109" s="26">
        <v>110</v>
      </c>
      <c r="G109" s="26">
        <v>210</v>
      </c>
      <c r="H109" s="26">
        <v>120</v>
      </c>
      <c r="I109" s="48">
        <f t="shared" si="48"/>
        <v>57.142857142857139</v>
      </c>
      <c r="J109" s="48">
        <f t="shared" si="49"/>
        <v>109.09090909090908</v>
      </c>
      <c r="K109" s="3"/>
    </row>
    <row r="110" spans="1:11" ht="18.75" customHeight="1">
      <c r="A110" s="1"/>
      <c r="B110" s="38" t="s">
        <v>124</v>
      </c>
      <c r="C110" s="1" t="s">
        <v>47</v>
      </c>
      <c r="D110" s="26">
        <v>215.5</v>
      </c>
      <c r="E110" s="26">
        <v>110</v>
      </c>
      <c r="F110" s="26">
        <v>49</v>
      </c>
      <c r="G110" s="26">
        <v>125</v>
      </c>
      <c r="H110" s="26">
        <v>64</v>
      </c>
      <c r="I110" s="48">
        <f t="shared" si="48"/>
        <v>51.2</v>
      </c>
      <c r="J110" s="48">
        <f t="shared" si="49"/>
        <v>130.61224489795919</v>
      </c>
      <c r="K110" s="3"/>
    </row>
    <row r="111" spans="1:11">
      <c r="A111" s="39" t="s">
        <v>28</v>
      </c>
      <c r="B111" s="40" t="s">
        <v>49</v>
      </c>
      <c r="C111" s="39"/>
      <c r="D111" s="10"/>
      <c r="E111" s="10"/>
      <c r="F111" s="10"/>
      <c r="G111" s="10"/>
      <c r="H111" s="10"/>
      <c r="I111" s="53" t="str">
        <f t="shared" si="48"/>
        <v/>
      </c>
      <c r="J111" s="53" t="str">
        <f t="shared" si="49"/>
        <v/>
      </c>
      <c r="K111" s="3"/>
    </row>
    <row r="112" spans="1:11" ht="19.5" customHeight="1">
      <c r="A112" s="41"/>
      <c r="B112" s="42" t="s">
        <v>125</v>
      </c>
      <c r="C112" s="1" t="s">
        <v>20</v>
      </c>
      <c r="D112" s="43">
        <v>500.3</v>
      </c>
      <c r="E112" s="43">
        <v>4</v>
      </c>
      <c r="F112" s="43"/>
      <c r="G112" s="43"/>
      <c r="H112" s="43">
        <v>54</v>
      </c>
      <c r="I112" s="48" t="str">
        <f t="shared" si="48"/>
        <v/>
      </c>
      <c r="J112" s="48" t="str">
        <f t="shared" si="49"/>
        <v/>
      </c>
      <c r="K112" s="3"/>
    </row>
    <row r="113" spans="1:12" ht="19.5" customHeight="1">
      <c r="A113" s="41"/>
      <c r="B113" s="29" t="s">
        <v>463</v>
      </c>
      <c r="C113" s="1" t="s">
        <v>20</v>
      </c>
      <c r="D113" s="43">
        <v>50870.31</v>
      </c>
      <c r="E113" s="43">
        <v>50870.31</v>
      </c>
      <c r="F113" s="43">
        <v>50870.31</v>
      </c>
      <c r="G113" s="43">
        <v>50870.31</v>
      </c>
      <c r="H113" s="43">
        <v>50870.31</v>
      </c>
      <c r="I113" s="48">
        <f t="shared" si="48"/>
        <v>100</v>
      </c>
      <c r="J113" s="48">
        <f t="shared" si="49"/>
        <v>100</v>
      </c>
      <c r="K113" s="3"/>
    </row>
    <row r="114" spans="1:12" ht="19.5" customHeight="1">
      <c r="A114" s="41"/>
      <c r="B114" s="29" t="s">
        <v>464</v>
      </c>
      <c r="C114" s="1" t="s">
        <v>20</v>
      </c>
      <c r="D114" s="43"/>
      <c r="E114" s="43">
        <v>15886.3</v>
      </c>
      <c r="F114" s="43">
        <v>15886</v>
      </c>
      <c r="G114" s="43">
        <v>15886</v>
      </c>
      <c r="H114" s="43">
        <v>15886</v>
      </c>
      <c r="I114" s="48">
        <f t="shared" si="48"/>
        <v>99.999999999999986</v>
      </c>
      <c r="J114" s="48">
        <f t="shared" si="49"/>
        <v>99.999999999999986</v>
      </c>
      <c r="K114" s="3"/>
    </row>
    <row r="115" spans="1:12" ht="19.5" customHeight="1">
      <c r="A115" s="41"/>
      <c r="B115" s="42" t="s">
        <v>462</v>
      </c>
      <c r="C115" s="1" t="s">
        <v>16</v>
      </c>
      <c r="D115" s="214">
        <v>31.37</v>
      </c>
      <c r="E115" s="229">
        <f>E114/50640%</f>
        <v>31.37105055292259</v>
      </c>
      <c r="F115" s="229">
        <f t="shared" ref="F115" si="60">F114/50640%</f>
        <v>31.370458135860982</v>
      </c>
      <c r="G115" s="229">
        <f t="shared" ref="G115:H115" si="61">G114/50640%</f>
        <v>31.370458135860982</v>
      </c>
      <c r="H115" s="229">
        <f t="shared" si="61"/>
        <v>31.370458135860982</v>
      </c>
      <c r="I115" s="48">
        <f t="shared" si="48"/>
        <v>99.999999999999986</v>
      </c>
      <c r="J115" s="48">
        <f t="shared" si="49"/>
        <v>99.999999999999986</v>
      </c>
      <c r="K115" s="3"/>
    </row>
    <row r="116" spans="1:12" s="15" customFormat="1" ht="17.25" customHeight="1">
      <c r="A116" s="8">
        <v>1</v>
      </c>
      <c r="B116" s="12" t="s">
        <v>14</v>
      </c>
      <c r="C116" s="8" t="s">
        <v>20</v>
      </c>
      <c r="D116" s="13">
        <v>1646</v>
      </c>
      <c r="E116" s="13">
        <f>D116+E117</f>
        <v>1675</v>
      </c>
      <c r="F116" s="13">
        <f>D116+F117</f>
        <v>1672.6</v>
      </c>
      <c r="G116" s="13">
        <f>E116+G117</f>
        <v>1710</v>
      </c>
      <c r="H116" s="13">
        <f>E116+H117-H118</f>
        <v>1725</v>
      </c>
      <c r="I116" s="53">
        <f t="shared" ref="I116:I148" si="62">IFERROR(H116/G116%,"")</f>
        <v>100.87719298245614</v>
      </c>
      <c r="J116" s="53">
        <f t="shared" ref="J116:J148" si="63">IFERROR(H116/F116%,"")</f>
        <v>103.13284706445056</v>
      </c>
      <c r="K116" s="69"/>
      <c r="L116" s="73"/>
    </row>
    <row r="117" spans="1:12" ht="17.25" customHeight="1">
      <c r="A117" s="1"/>
      <c r="B117" s="17" t="s">
        <v>53</v>
      </c>
      <c r="C117" s="1" t="s">
        <v>20</v>
      </c>
      <c r="D117" s="19">
        <v>57.2</v>
      </c>
      <c r="E117" s="19">
        <v>29</v>
      </c>
      <c r="F117" s="19">
        <v>26.6</v>
      </c>
      <c r="G117" s="19">
        <v>35</v>
      </c>
      <c r="H117" s="19">
        <v>54</v>
      </c>
      <c r="I117" s="48">
        <f t="shared" si="62"/>
        <v>154.28571428571431</v>
      </c>
      <c r="J117" s="48">
        <f t="shared" si="63"/>
        <v>203.00751879699246</v>
      </c>
      <c r="K117" s="3"/>
    </row>
    <row r="118" spans="1:12" ht="17.25" customHeight="1">
      <c r="A118" s="1"/>
      <c r="B118" s="17" t="s">
        <v>116</v>
      </c>
      <c r="C118" s="1" t="s">
        <v>20</v>
      </c>
      <c r="D118" s="30"/>
      <c r="E118" s="30"/>
      <c r="F118" s="30"/>
      <c r="G118" s="30"/>
      <c r="H118" s="30">
        <v>4</v>
      </c>
      <c r="I118" s="48"/>
      <c r="J118" s="48"/>
      <c r="K118" s="3"/>
    </row>
    <row r="119" spans="1:12" s="15" customFormat="1">
      <c r="A119" s="8" t="s">
        <v>76</v>
      </c>
      <c r="B119" s="44" t="s">
        <v>80</v>
      </c>
      <c r="C119" s="8"/>
      <c r="D119" s="126"/>
      <c r="E119" s="126"/>
      <c r="F119" s="126"/>
      <c r="G119" s="126"/>
      <c r="H119" s="126"/>
      <c r="I119" s="53" t="str">
        <f t="shared" si="62"/>
        <v/>
      </c>
      <c r="J119" s="53" t="str">
        <f t="shared" si="63"/>
        <v/>
      </c>
      <c r="K119" s="53"/>
    </row>
    <row r="120" spans="1:12" ht="22.5" customHeight="1">
      <c r="A120" s="8">
        <v>1</v>
      </c>
      <c r="B120" s="44" t="s">
        <v>200</v>
      </c>
      <c r="C120" s="8" t="s">
        <v>126</v>
      </c>
      <c r="D120" s="24">
        <v>676693</v>
      </c>
      <c r="E120" s="24">
        <v>708000</v>
      </c>
      <c r="F120" s="24">
        <v>428672</v>
      </c>
      <c r="G120" s="24">
        <v>722000</v>
      </c>
      <c r="H120" s="24">
        <v>458300</v>
      </c>
      <c r="I120" s="53">
        <f t="shared" si="62"/>
        <v>63.476454293628812</v>
      </c>
      <c r="J120" s="53">
        <f t="shared" si="63"/>
        <v>106.91157808300984</v>
      </c>
      <c r="K120" s="69"/>
    </row>
    <row r="121" spans="1:12" ht="20.25" customHeight="1">
      <c r="A121" s="1">
        <v>2</v>
      </c>
      <c r="B121" s="17" t="s">
        <v>128</v>
      </c>
      <c r="C121" s="1"/>
      <c r="D121" s="10"/>
      <c r="E121" s="10"/>
      <c r="F121" s="10"/>
      <c r="G121" s="10"/>
      <c r="H121" s="126"/>
      <c r="I121" s="48" t="str">
        <f t="shared" si="62"/>
        <v/>
      </c>
      <c r="J121" s="48" t="str">
        <f t="shared" si="63"/>
        <v/>
      </c>
      <c r="K121" s="3"/>
    </row>
    <row r="122" spans="1:12" ht="20.25" customHeight="1">
      <c r="A122" s="1"/>
      <c r="B122" s="17" t="s">
        <v>129</v>
      </c>
      <c r="C122" s="1" t="s">
        <v>40</v>
      </c>
      <c r="D122" s="26">
        <v>40</v>
      </c>
      <c r="E122" s="26">
        <v>42</v>
      </c>
      <c r="F122" s="26">
        <v>24</v>
      </c>
      <c r="G122" s="26">
        <v>40</v>
      </c>
      <c r="H122" s="26">
        <v>25</v>
      </c>
      <c r="I122" s="48">
        <f t="shared" si="62"/>
        <v>62.5</v>
      </c>
      <c r="J122" s="48">
        <f t="shared" si="63"/>
        <v>104.16666666666667</v>
      </c>
      <c r="K122" s="3"/>
    </row>
    <row r="123" spans="1:12" ht="20.25" customHeight="1">
      <c r="A123" s="1"/>
      <c r="B123" s="17" t="s">
        <v>135</v>
      </c>
      <c r="C123" s="1" t="s">
        <v>40</v>
      </c>
      <c r="D123" s="26">
        <v>35</v>
      </c>
      <c r="E123" s="26">
        <v>30</v>
      </c>
      <c r="F123" s="26">
        <v>26</v>
      </c>
      <c r="G123" s="26">
        <v>40</v>
      </c>
      <c r="H123" s="26">
        <v>27</v>
      </c>
      <c r="I123" s="48">
        <f t="shared" si="62"/>
        <v>67.5</v>
      </c>
      <c r="J123" s="48">
        <f t="shared" si="63"/>
        <v>103.84615384615384</v>
      </c>
      <c r="K123" s="3"/>
    </row>
    <row r="124" spans="1:12" ht="20.25" customHeight="1">
      <c r="A124" s="1"/>
      <c r="B124" s="17" t="s">
        <v>130</v>
      </c>
      <c r="C124" s="1" t="s">
        <v>47</v>
      </c>
      <c r="D124" s="26">
        <v>57219</v>
      </c>
      <c r="E124" s="26">
        <v>60000</v>
      </c>
      <c r="F124" s="26">
        <v>25150</v>
      </c>
      <c r="G124" s="26">
        <v>55000</v>
      </c>
      <c r="H124" s="26">
        <v>26000</v>
      </c>
      <c r="I124" s="48">
        <f t="shared" si="62"/>
        <v>47.272727272727273</v>
      </c>
      <c r="J124" s="48">
        <f t="shared" si="63"/>
        <v>103.37972166998011</v>
      </c>
      <c r="K124" s="3"/>
    </row>
    <row r="125" spans="1:12" ht="20.25" customHeight="1">
      <c r="A125" s="1"/>
      <c r="B125" s="17" t="s">
        <v>131</v>
      </c>
      <c r="C125" s="1" t="s">
        <v>47</v>
      </c>
      <c r="D125" s="26">
        <v>12363</v>
      </c>
      <c r="E125" s="26">
        <v>13000</v>
      </c>
      <c r="F125" s="26">
        <v>4800</v>
      </c>
      <c r="G125" s="26">
        <v>12000</v>
      </c>
      <c r="H125" s="26">
        <v>4950</v>
      </c>
      <c r="I125" s="48">
        <f t="shared" si="62"/>
        <v>41.25</v>
      </c>
      <c r="J125" s="48">
        <f t="shared" si="63"/>
        <v>103.125</v>
      </c>
      <c r="K125" s="3"/>
    </row>
    <row r="126" spans="1:12" ht="20.25" customHeight="1">
      <c r="A126" s="1"/>
      <c r="B126" s="17" t="s">
        <v>132</v>
      </c>
      <c r="C126" s="1" t="s">
        <v>217</v>
      </c>
      <c r="D126" s="26">
        <v>39713</v>
      </c>
      <c r="E126" s="26">
        <v>41000</v>
      </c>
      <c r="F126" s="26">
        <v>25900</v>
      </c>
      <c r="G126" s="26">
        <v>60000</v>
      </c>
      <c r="H126" s="26"/>
      <c r="I126" s="48">
        <f t="shared" si="62"/>
        <v>0</v>
      </c>
      <c r="J126" s="48">
        <f t="shared" si="63"/>
        <v>0</v>
      </c>
      <c r="K126" s="3"/>
    </row>
    <row r="127" spans="1:12" ht="20.25" customHeight="1">
      <c r="A127" s="1"/>
      <c r="B127" s="17" t="s">
        <v>133</v>
      </c>
      <c r="C127" s="1" t="s">
        <v>217</v>
      </c>
      <c r="D127" s="26">
        <v>34500</v>
      </c>
      <c r="E127" s="26">
        <v>35000</v>
      </c>
      <c r="F127" s="26">
        <v>23450</v>
      </c>
      <c r="G127" s="26">
        <v>54000</v>
      </c>
      <c r="H127" s="26"/>
      <c r="I127" s="48">
        <f t="shared" si="62"/>
        <v>0</v>
      </c>
      <c r="J127" s="48">
        <f t="shared" si="63"/>
        <v>0</v>
      </c>
      <c r="K127" s="3"/>
    </row>
    <row r="128" spans="1:12" s="15" customFormat="1" ht="17.25" customHeight="1">
      <c r="A128" s="8" t="s">
        <v>79</v>
      </c>
      <c r="B128" s="12" t="s">
        <v>201</v>
      </c>
      <c r="C128" s="8"/>
      <c r="D128" s="26"/>
      <c r="E128" s="26"/>
      <c r="F128" s="26"/>
      <c r="G128" s="26"/>
      <c r="H128" s="26"/>
      <c r="I128" s="53" t="str">
        <f t="shared" si="62"/>
        <v/>
      </c>
      <c r="J128" s="53" t="str">
        <f t="shared" si="63"/>
        <v/>
      </c>
      <c r="K128" s="53"/>
    </row>
    <row r="129" spans="1:12" ht="22.5" customHeight="1">
      <c r="A129" s="1">
        <v>1</v>
      </c>
      <c r="B129" s="17" t="s">
        <v>81</v>
      </c>
      <c r="C129" s="1" t="s">
        <v>126</v>
      </c>
      <c r="D129" s="26">
        <v>560310</v>
      </c>
      <c r="E129" s="26">
        <v>595000</v>
      </c>
      <c r="F129" s="26">
        <v>371363</v>
      </c>
      <c r="G129" s="26">
        <v>696000</v>
      </c>
      <c r="H129" s="26">
        <v>400000</v>
      </c>
      <c r="I129" s="48">
        <f t="shared" si="62"/>
        <v>57.47126436781609</v>
      </c>
      <c r="J129" s="48">
        <f t="shared" si="63"/>
        <v>107.71132288353982</v>
      </c>
      <c r="K129" s="3"/>
    </row>
    <row r="130" spans="1:12" ht="19.5" customHeight="1">
      <c r="A130" s="84"/>
      <c r="B130" s="105" t="s">
        <v>205</v>
      </c>
      <c r="C130" s="84"/>
      <c r="D130" s="86"/>
      <c r="E130" s="86"/>
      <c r="F130" s="10"/>
      <c r="G130" s="86"/>
      <c r="H130" s="86"/>
      <c r="I130" s="106" t="str">
        <f t="shared" si="62"/>
        <v/>
      </c>
      <c r="J130" s="106" t="str">
        <f t="shared" si="63"/>
        <v/>
      </c>
      <c r="K130" s="3"/>
    </row>
    <row r="131" spans="1:12" s="15" customFormat="1" ht="22.5" customHeight="1">
      <c r="A131" s="8" t="s">
        <v>21</v>
      </c>
      <c r="B131" s="12" t="s">
        <v>147</v>
      </c>
      <c r="C131" s="8"/>
      <c r="D131" s="126"/>
      <c r="E131" s="126"/>
      <c r="F131" s="126"/>
      <c r="G131" s="126"/>
      <c r="H131" s="126"/>
      <c r="I131" s="53" t="str">
        <f t="shared" si="62"/>
        <v/>
      </c>
      <c r="J131" s="53" t="str">
        <f t="shared" si="63"/>
        <v/>
      </c>
      <c r="K131" s="69"/>
    </row>
    <row r="132" spans="1:12" ht="22.5" hidden="1" customHeight="1" outlineLevel="1">
      <c r="A132" s="1">
        <v>1</v>
      </c>
      <c r="B132" s="17" t="s">
        <v>148</v>
      </c>
      <c r="C132" s="1" t="s">
        <v>38</v>
      </c>
      <c r="D132" s="26">
        <v>10520</v>
      </c>
      <c r="E132" s="26">
        <f>D133</f>
        <v>10685</v>
      </c>
      <c r="F132" s="26">
        <f>D133</f>
        <v>10685</v>
      </c>
      <c r="G132" s="26">
        <f>E133</f>
        <v>11308</v>
      </c>
      <c r="H132" s="26">
        <f>E133</f>
        <v>11308</v>
      </c>
      <c r="I132" s="48">
        <f t="shared" si="62"/>
        <v>100</v>
      </c>
      <c r="J132" s="48">
        <f t="shared" si="63"/>
        <v>105.83060364997661</v>
      </c>
      <c r="K132" s="3"/>
    </row>
    <row r="133" spans="1:12" ht="22.5" hidden="1" customHeight="1" outlineLevel="1">
      <c r="A133" s="1">
        <v>2</v>
      </c>
      <c r="B133" s="17" t="s">
        <v>101</v>
      </c>
      <c r="C133" s="1" t="s">
        <v>38</v>
      </c>
      <c r="D133" s="26">
        <v>10685</v>
      </c>
      <c r="E133" s="26">
        <v>11308</v>
      </c>
      <c r="F133" s="26">
        <v>11120</v>
      </c>
      <c r="G133" s="26">
        <f>G132+630</f>
        <v>11938</v>
      </c>
      <c r="H133" s="26">
        <v>11350</v>
      </c>
      <c r="I133" s="48">
        <f t="shared" si="62"/>
        <v>95.074551851231362</v>
      </c>
      <c r="J133" s="48">
        <f t="shared" si="63"/>
        <v>102.068345323741</v>
      </c>
      <c r="K133" s="3"/>
      <c r="L133" s="63"/>
    </row>
    <row r="134" spans="1:12" ht="22.5" customHeight="1" collapsed="1">
      <c r="A134" s="1">
        <v>1</v>
      </c>
      <c r="B134" s="17" t="s">
        <v>58</v>
      </c>
      <c r="C134" s="1" t="s">
        <v>45</v>
      </c>
      <c r="D134" s="26">
        <v>44006</v>
      </c>
      <c r="E134" s="26">
        <f>D135</f>
        <v>45290</v>
      </c>
      <c r="F134" s="26">
        <f>D135</f>
        <v>45290</v>
      </c>
      <c r="G134" s="26">
        <f>E135</f>
        <v>46365</v>
      </c>
      <c r="H134" s="26">
        <f>E135</f>
        <v>46365</v>
      </c>
      <c r="I134" s="48">
        <f t="shared" si="62"/>
        <v>100</v>
      </c>
      <c r="J134" s="48">
        <f t="shared" si="63"/>
        <v>102.37359240450431</v>
      </c>
      <c r="K134" s="3"/>
      <c r="L134" s="63"/>
    </row>
    <row r="135" spans="1:12" ht="22.5" customHeight="1">
      <c r="A135" s="1">
        <v>2</v>
      </c>
      <c r="B135" s="17" t="s">
        <v>59</v>
      </c>
      <c r="C135" s="1" t="s">
        <v>45</v>
      </c>
      <c r="D135" s="26">
        <v>45290</v>
      </c>
      <c r="E135" s="26">
        <v>46365</v>
      </c>
      <c r="F135" s="26">
        <v>46404</v>
      </c>
      <c r="G135" s="26">
        <v>47500</v>
      </c>
      <c r="H135" s="26">
        <f>H134+836</f>
        <v>47201</v>
      </c>
      <c r="I135" s="48">
        <f t="shared" si="62"/>
        <v>99.370526315789476</v>
      </c>
      <c r="J135" s="48">
        <f t="shared" si="63"/>
        <v>101.71752435134901</v>
      </c>
      <c r="K135" s="3"/>
      <c r="L135" s="63"/>
    </row>
    <row r="136" spans="1:12" ht="22.5" customHeight="1">
      <c r="A136" s="1">
        <v>3</v>
      </c>
      <c r="B136" s="17" t="s">
        <v>134</v>
      </c>
      <c r="C136" s="1" t="s">
        <v>45</v>
      </c>
      <c r="D136" s="26">
        <f t="shared" ref="D136:H136" si="64">(D134+D135)/2</f>
        <v>44648</v>
      </c>
      <c r="E136" s="26">
        <f t="shared" si="64"/>
        <v>45827.5</v>
      </c>
      <c r="F136" s="26">
        <f t="shared" ref="F136" si="65">(F134+F135)/2</f>
        <v>45847</v>
      </c>
      <c r="G136" s="26">
        <f t="shared" si="64"/>
        <v>46932.5</v>
      </c>
      <c r="H136" s="26">
        <f t="shared" si="64"/>
        <v>46783</v>
      </c>
      <c r="I136" s="48">
        <f t="shared" si="62"/>
        <v>99.681457412240988</v>
      </c>
      <c r="J136" s="48">
        <f t="shared" si="63"/>
        <v>102.04157305821536</v>
      </c>
      <c r="K136" s="3"/>
      <c r="L136" s="63"/>
    </row>
    <row r="137" spans="1:12" ht="22.5" customHeight="1">
      <c r="A137" s="1">
        <v>4</v>
      </c>
      <c r="B137" s="38" t="s">
        <v>160</v>
      </c>
      <c r="C137" s="18" t="s">
        <v>70</v>
      </c>
      <c r="D137" s="61">
        <v>22.62</v>
      </c>
      <c r="E137" s="61">
        <v>22.92</v>
      </c>
      <c r="F137" s="61">
        <v>22.92</v>
      </c>
      <c r="G137" s="61">
        <v>22</v>
      </c>
      <c r="H137" s="61">
        <v>22</v>
      </c>
      <c r="I137" s="48">
        <f t="shared" si="62"/>
        <v>100</v>
      </c>
      <c r="J137" s="48">
        <f t="shared" si="63"/>
        <v>95.986038394415345</v>
      </c>
      <c r="K137" s="3"/>
    </row>
    <row r="138" spans="1:12" s="15" customFormat="1" ht="21" customHeight="1">
      <c r="A138" s="8" t="s">
        <v>22</v>
      </c>
      <c r="B138" s="12" t="s">
        <v>66</v>
      </c>
      <c r="C138" s="8"/>
      <c r="D138" s="47"/>
      <c r="E138" s="47"/>
      <c r="F138" s="47"/>
      <c r="G138" s="47"/>
      <c r="H138" s="47"/>
      <c r="I138" s="53" t="str">
        <f t="shared" si="62"/>
        <v/>
      </c>
      <c r="J138" s="53" t="str">
        <f t="shared" si="63"/>
        <v/>
      </c>
      <c r="K138" s="69"/>
    </row>
    <row r="139" spans="1:12" ht="21" customHeight="1">
      <c r="A139" s="1">
        <v>1</v>
      </c>
      <c r="B139" s="17" t="s">
        <v>161</v>
      </c>
      <c r="C139" s="1" t="s">
        <v>16</v>
      </c>
      <c r="D139" s="48">
        <v>42.86</v>
      </c>
      <c r="E139" s="48">
        <v>43</v>
      </c>
      <c r="F139" s="48"/>
      <c r="G139" s="48">
        <v>44</v>
      </c>
      <c r="H139" s="48"/>
      <c r="I139" s="48">
        <f t="shared" si="62"/>
        <v>0</v>
      </c>
      <c r="J139" s="48" t="str">
        <f t="shared" si="63"/>
        <v/>
      </c>
      <c r="K139" s="3"/>
    </row>
    <row r="140" spans="1:12" ht="21" customHeight="1">
      <c r="A140" s="1"/>
      <c r="B140" s="17" t="s">
        <v>162</v>
      </c>
      <c r="C140" s="1" t="s">
        <v>16</v>
      </c>
      <c r="D140" s="48">
        <v>32</v>
      </c>
      <c r="E140" s="48">
        <v>35</v>
      </c>
      <c r="F140" s="48"/>
      <c r="G140" s="48">
        <v>36</v>
      </c>
      <c r="H140" s="48"/>
      <c r="I140" s="48">
        <f t="shared" si="62"/>
        <v>0</v>
      </c>
      <c r="J140" s="48" t="str">
        <f t="shared" si="63"/>
        <v/>
      </c>
      <c r="K140" s="3"/>
    </row>
    <row r="141" spans="1:12" ht="46.8">
      <c r="A141" s="1">
        <v>2</v>
      </c>
      <c r="B141" s="17" t="s">
        <v>152</v>
      </c>
      <c r="C141" s="1" t="s">
        <v>51</v>
      </c>
      <c r="D141" s="49">
        <f>174+50</f>
        <v>224</v>
      </c>
      <c r="E141" s="49">
        <v>175</v>
      </c>
      <c r="F141" s="49">
        <v>175</v>
      </c>
      <c r="G141" s="49">
        <v>250</v>
      </c>
      <c r="H141" s="49">
        <v>305</v>
      </c>
      <c r="I141" s="48">
        <f t="shared" si="62"/>
        <v>122</v>
      </c>
      <c r="J141" s="48">
        <f t="shared" si="63"/>
        <v>174.28571428571428</v>
      </c>
      <c r="K141" s="3"/>
    </row>
    <row r="142" spans="1:12" ht="30.75" customHeight="1">
      <c r="A142" s="1"/>
      <c r="B142" s="17" t="s">
        <v>164</v>
      </c>
      <c r="C142" s="1" t="s">
        <v>165</v>
      </c>
      <c r="D142" s="17">
        <v>111</v>
      </c>
      <c r="E142" s="17">
        <v>115</v>
      </c>
      <c r="F142" s="17"/>
      <c r="G142" s="17">
        <v>120</v>
      </c>
      <c r="H142" s="17"/>
      <c r="I142" s="48">
        <f t="shared" si="62"/>
        <v>0</v>
      </c>
      <c r="J142" s="48" t="str">
        <f t="shared" si="63"/>
        <v/>
      </c>
      <c r="K142" s="3"/>
    </row>
    <row r="143" spans="1:12" ht="21" customHeight="1">
      <c r="A143" s="8" t="s">
        <v>25</v>
      </c>
      <c r="B143" s="12" t="s">
        <v>108</v>
      </c>
      <c r="C143" s="1"/>
      <c r="D143" s="49"/>
      <c r="E143" s="49"/>
      <c r="F143" s="49"/>
      <c r="G143" s="49"/>
      <c r="H143" s="49"/>
      <c r="I143" s="53" t="str">
        <f t="shared" si="62"/>
        <v/>
      </c>
      <c r="J143" s="53" t="str">
        <f t="shared" si="63"/>
        <v/>
      </c>
      <c r="K143" s="3"/>
    </row>
    <row r="144" spans="1:12" ht="29.25" customHeight="1">
      <c r="A144" s="50">
        <v>1</v>
      </c>
      <c r="B144" s="51" t="s">
        <v>150</v>
      </c>
      <c r="C144" s="1" t="s">
        <v>16</v>
      </c>
      <c r="D144" s="54" t="s">
        <v>153</v>
      </c>
      <c r="E144" s="74">
        <f>D145-E145</f>
        <v>3.1799999999999997</v>
      </c>
      <c r="F144" s="54"/>
      <c r="G144" s="54">
        <v>3</v>
      </c>
      <c r="H144" s="54"/>
      <c r="I144" s="48">
        <f t="shared" si="62"/>
        <v>0</v>
      </c>
      <c r="J144" s="48" t="str">
        <f t="shared" si="63"/>
        <v/>
      </c>
      <c r="K144" s="3"/>
    </row>
    <row r="145" spans="1:12" ht="21" customHeight="1">
      <c r="A145" s="50">
        <v>2</v>
      </c>
      <c r="B145" s="51" t="s">
        <v>163</v>
      </c>
      <c r="C145" s="1" t="s">
        <v>16</v>
      </c>
      <c r="D145" s="66">
        <v>17.32</v>
      </c>
      <c r="E145" s="66">
        <v>14.14</v>
      </c>
      <c r="F145" s="66"/>
      <c r="G145" s="66">
        <f>E145-3</f>
        <v>11.14</v>
      </c>
      <c r="H145" s="66"/>
      <c r="I145" s="48">
        <f t="shared" si="62"/>
        <v>0</v>
      </c>
      <c r="J145" s="48" t="str">
        <f t="shared" si="63"/>
        <v/>
      </c>
      <c r="K145" s="3"/>
      <c r="L145" s="75"/>
    </row>
    <row r="146" spans="1:12" s="15" customFormat="1" ht="20.25" customHeight="1">
      <c r="A146" s="8" t="s">
        <v>26</v>
      </c>
      <c r="B146" s="12" t="s">
        <v>0</v>
      </c>
      <c r="C146" s="8"/>
      <c r="D146" s="126"/>
      <c r="E146" s="126"/>
      <c r="F146" s="126"/>
      <c r="G146" s="126"/>
      <c r="H146" s="126"/>
      <c r="I146" s="53" t="str">
        <f t="shared" si="62"/>
        <v/>
      </c>
      <c r="J146" s="53" t="str">
        <f t="shared" si="63"/>
        <v/>
      </c>
      <c r="K146" s="69"/>
    </row>
    <row r="147" spans="1:12" ht="23.25" customHeight="1">
      <c r="A147" s="1">
        <v>1</v>
      </c>
      <c r="B147" s="17" t="s">
        <v>157</v>
      </c>
      <c r="C147" s="1" t="s">
        <v>1</v>
      </c>
      <c r="D147" s="26">
        <f>SUM(D148:D154)</f>
        <v>13999</v>
      </c>
      <c r="E147" s="26">
        <f>SUM(E148:E154)</f>
        <v>14102</v>
      </c>
      <c r="F147" s="26">
        <f>F148+F152+F153+F154</f>
        <v>14205</v>
      </c>
      <c r="G147" s="26">
        <f>G148+G152+G153+G154</f>
        <v>14530</v>
      </c>
      <c r="H147" s="26">
        <f t="shared" ref="H147" si="66">H148+H152+H153+H154</f>
        <v>14689</v>
      </c>
      <c r="I147" s="48">
        <f t="shared" si="62"/>
        <v>101.0942876806607</v>
      </c>
      <c r="J147" s="48">
        <f t="shared" si="63"/>
        <v>103.40725096796902</v>
      </c>
      <c r="K147" s="3"/>
    </row>
    <row r="148" spans="1:12" ht="21" customHeight="1">
      <c r="A148" s="1" t="s">
        <v>308</v>
      </c>
      <c r="B148" s="17" t="s">
        <v>83</v>
      </c>
      <c r="C148" s="1" t="s">
        <v>1</v>
      </c>
      <c r="D148" s="76">
        <v>4325</v>
      </c>
      <c r="E148" s="76">
        <v>4401</v>
      </c>
      <c r="F148" s="76">
        <f>F149+F151</f>
        <v>4325</v>
      </c>
      <c r="G148" s="76">
        <f>G149+G151</f>
        <v>4430</v>
      </c>
      <c r="H148" s="76">
        <f>H149+H151</f>
        <v>4293</v>
      </c>
      <c r="I148" s="48">
        <f t="shared" si="62"/>
        <v>96.907449209932281</v>
      </c>
      <c r="J148" s="48">
        <f t="shared" si="63"/>
        <v>99.260115606936409</v>
      </c>
      <c r="K148" s="3"/>
      <c r="L148" s="67"/>
    </row>
    <row r="149" spans="1:12" s="34" customFormat="1" ht="21" customHeight="1" outlineLevel="1">
      <c r="A149" s="31"/>
      <c r="B149" s="17" t="s">
        <v>458</v>
      </c>
      <c r="C149" s="1" t="s">
        <v>2</v>
      </c>
      <c r="D149" s="77"/>
      <c r="E149" s="76"/>
      <c r="F149" s="76">
        <v>365</v>
      </c>
      <c r="G149" s="76">
        <v>450</v>
      </c>
      <c r="H149" s="76">
        <v>363</v>
      </c>
      <c r="I149" s="48">
        <f t="shared" ref="I149:I180" si="67">IFERROR(H149/G149%,"")</f>
        <v>80.666666666666671</v>
      </c>
      <c r="J149" s="48">
        <f t="shared" ref="J149:J180" si="68">IFERROR(H149/F149%,"")</f>
        <v>99.452054794520549</v>
      </c>
      <c r="K149" s="70"/>
      <c r="L149" s="68"/>
    </row>
    <row r="150" spans="1:12" s="34" customFormat="1" ht="21" customHeight="1" outlineLevel="1">
      <c r="A150" s="31"/>
      <c r="B150" s="17" t="s">
        <v>459</v>
      </c>
      <c r="C150" s="1" t="s">
        <v>2</v>
      </c>
      <c r="D150" s="77"/>
      <c r="E150" s="76"/>
      <c r="F150" s="76"/>
      <c r="G150" s="76">
        <v>350</v>
      </c>
      <c r="H150" s="76"/>
      <c r="I150" s="48">
        <f t="shared" si="67"/>
        <v>0</v>
      </c>
      <c r="J150" s="48" t="str">
        <f t="shared" si="68"/>
        <v/>
      </c>
      <c r="K150" s="70"/>
      <c r="L150" s="68"/>
    </row>
    <row r="151" spans="1:12" s="34" customFormat="1" ht="21" customHeight="1" outlineLevel="1">
      <c r="A151" s="31" t="s">
        <v>308</v>
      </c>
      <c r="B151" s="17" t="s">
        <v>85</v>
      </c>
      <c r="C151" s="1" t="s">
        <v>2</v>
      </c>
      <c r="D151" s="77"/>
      <c r="E151" s="76"/>
      <c r="F151" s="76">
        <v>3960</v>
      </c>
      <c r="G151" s="76">
        <v>3980</v>
      </c>
      <c r="H151" s="76">
        <v>3930</v>
      </c>
      <c r="I151" s="48">
        <f t="shared" si="67"/>
        <v>98.743718592964825</v>
      </c>
      <c r="J151" s="48">
        <f t="shared" si="68"/>
        <v>99.242424242424235</v>
      </c>
      <c r="K151" s="70"/>
      <c r="L151" s="68"/>
    </row>
    <row r="152" spans="1:12" ht="21" customHeight="1">
      <c r="A152" s="1" t="s">
        <v>308</v>
      </c>
      <c r="B152" s="17" t="s">
        <v>104</v>
      </c>
      <c r="C152" s="1" t="s">
        <v>1</v>
      </c>
      <c r="D152" s="76">
        <v>5412</v>
      </c>
      <c r="E152" s="76">
        <v>5400</v>
      </c>
      <c r="F152" s="76">
        <v>5682</v>
      </c>
      <c r="G152" s="76">
        <v>5700</v>
      </c>
      <c r="H152" s="76">
        <v>6027</v>
      </c>
      <c r="I152" s="48">
        <f t="shared" si="67"/>
        <v>105.73684210526316</v>
      </c>
      <c r="J152" s="48">
        <f t="shared" si="68"/>
        <v>106.07180570221753</v>
      </c>
      <c r="K152" s="3"/>
      <c r="L152" s="67"/>
    </row>
    <row r="153" spans="1:12" ht="21" customHeight="1">
      <c r="A153" s="1" t="s">
        <v>308</v>
      </c>
      <c r="B153" s="17" t="s">
        <v>105</v>
      </c>
      <c r="C153" s="1" t="s">
        <v>1</v>
      </c>
      <c r="D153" s="76">
        <v>3521</v>
      </c>
      <c r="E153" s="76">
        <v>3560</v>
      </c>
      <c r="F153" s="76">
        <v>3457</v>
      </c>
      <c r="G153" s="76">
        <v>3570</v>
      </c>
      <c r="H153" s="76">
        <v>3562</v>
      </c>
      <c r="I153" s="48">
        <f t="shared" si="67"/>
        <v>99.775910364145645</v>
      </c>
      <c r="J153" s="48">
        <f t="shared" si="68"/>
        <v>103.03731559155337</v>
      </c>
      <c r="K153" s="3"/>
    </row>
    <row r="154" spans="1:12" ht="21" customHeight="1">
      <c r="A154" s="1" t="s">
        <v>308</v>
      </c>
      <c r="B154" s="17" t="s">
        <v>137</v>
      </c>
      <c r="C154" s="1" t="s">
        <v>1</v>
      </c>
      <c r="D154" s="76">
        <v>741</v>
      </c>
      <c r="E154" s="76">
        <v>741</v>
      </c>
      <c r="F154" s="76">
        <v>741</v>
      </c>
      <c r="G154" s="76">
        <v>830</v>
      </c>
      <c r="H154" s="76">
        <v>807</v>
      </c>
      <c r="I154" s="48">
        <f t="shared" si="67"/>
        <v>97.228915662650593</v>
      </c>
      <c r="J154" s="48">
        <f t="shared" si="68"/>
        <v>108.90688259109312</v>
      </c>
      <c r="K154" s="3"/>
      <c r="L154" s="67"/>
    </row>
    <row r="155" spans="1:12" s="88" customFormat="1" ht="22.5" customHeight="1" outlineLevel="1">
      <c r="A155" s="84"/>
      <c r="B155" s="85" t="s">
        <v>166</v>
      </c>
      <c r="C155" s="84"/>
      <c r="D155" s="86">
        <f t="shared" ref="D155:H155" si="69">SUM(D157:D161)</f>
        <v>37</v>
      </c>
      <c r="E155" s="86">
        <f t="shared" si="69"/>
        <v>38</v>
      </c>
      <c r="F155" s="10">
        <f t="shared" ref="F155" si="70">SUM(F157:F161)</f>
        <v>37</v>
      </c>
      <c r="G155" s="86">
        <f t="shared" si="69"/>
        <v>38</v>
      </c>
      <c r="H155" s="86">
        <f t="shared" si="69"/>
        <v>38</v>
      </c>
      <c r="I155" s="87">
        <f t="shared" si="67"/>
        <v>100</v>
      </c>
      <c r="J155" s="87">
        <f t="shared" si="68"/>
        <v>102.70270270270271</v>
      </c>
      <c r="K155" s="111"/>
    </row>
    <row r="156" spans="1:12" s="88" customFormat="1" ht="22.5" customHeight="1" outlineLevel="1">
      <c r="A156" s="84"/>
      <c r="B156" s="89" t="s">
        <v>136</v>
      </c>
      <c r="C156" s="84"/>
      <c r="D156" s="86"/>
      <c r="E156" s="86"/>
      <c r="F156" s="10"/>
      <c r="G156" s="86"/>
      <c r="H156" s="86"/>
      <c r="I156" s="87" t="str">
        <f t="shared" si="67"/>
        <v/>
      </c>
      <c r="J156" s="87" t="str">
        <f t="shared" si="68"/>
        <v/>
      </c>
      <c r="K156" s="111"/>
    </row>
    <row r="157" spans="1:12" s="88" customFormat="1" ht="22.5" customHeight="1" outlineLevel="1">
      <c r="A157" s="84"/>
      <c r="B157" s="85" t="s">
        <v>138</v>
      </c>
      <c r="C157" s="84" t="s">
        <v>62</v>
      </c>
      <c r="D157" s="86">
        <v>13</v>
      </c>
      <c r="E157" s="86">
        <v>13</v>
      </c>
      <c r="F157" s="10">
        <f t="shared" ref="F157:G161" si="71">D157</f>
        <v>13</v>
      </c>
      <c r="G157" s="86">
        <f t="shared" si="71"/>
        <v>13</v>
      </c>
      <c r="H157" s="86">
        <f t="shared" ref="H157:H161" si="72">G157</f>
        <v>13</v>
      </c>
      <c r="I157" s="87">
        <f t="shared" si="67"/>
        <v>100</v>
      </c>
      <c r="J157" s="87">
        <f t="shared" si="68"/>
        <v>100</v>
      </c>
      <c r="K157" s="111"/>
    </row>
    <row r="158" spans="1:12" s="88" customFormat="1" ht="22.5" customHeight="1" outlineLevel="1">
      <c r="A158" s="84"/>
      <c r="B158" s="85" t="s">
        <v>139</v>
      </c>
      <c r="C158" s="84" t="s">
        <v>62</v>
      </c>
      <c r="D158" s="86">
        <v>13</v>
      </c>
      <c r="E158" s="86">
        <v>14</v>
      </c>
      <c r="F158" s="10">
        <f t="shared" si="71"/>
        <v>13</v>
      </c>
      <c r="G158" s="86">
        <f t="shared" si="71"/>
        <v>14</v>
      </c>
      <c r="H158" s="86">
        <f t="shared" si="72"/>
        <v>14</v>
      </c>
      <c r="I158" s="87">
        <f t="shared" si="67"/>
        <v>99.999999999999986</v>
      </c>
      <c r="J158" s="87">
        <f t="shared" si="68"/>
        <v>107.69230769230769</v>
      </c>
      <c r="K158" s="111"/>
    </row>
    <row r="159" spans="1:12" s="88" customFormat="1" ht="22.5" customHeight="1" outlineLevel="1">
      <c r="A159" s="84"/>
      <c r="B159" s="85" t="s">
        <v>140</v>
      </c>
      <c r="C159" s="84" t="s">
        <v>62</v>
      </c>
      <c r="D159" s="86">
        <v>9</v>
      </c>
      <c r="E159" s="86">
        <v>9</v>
      </c>
      <c r="F159" s="10">
        <f t="shared" si="71"/>
        <v>9</v>
      </c>
      <c r="G159" s="86">
        <f t="shared" si="71"/>
        <v>9</v>
      </c>
      <c r="H159" s="86">
        <f t="shared" si="72"/>
        <v>9</v>
      </c>
      <c r="I159" s="87">
        <f t="shared" si="67"/>
        <v>100</v>
      </c>
      <c r="J159" s="87">
        <f t="shared" si="68"/>
        <v>100</v>
      </c>
      <c r="K159" s="111"/>
    </row>
    <row r="160" spans="1:12" s="88" customFormat="1" ht="22.5" customHeight="1" outlineLevel="1">
      <c r="A160" s="84"/>
      <c r="B160" s="85" t="s">
        <v>141</v>
      </c>
      <c r="C160" s="84" t="s">
        <v>62</v>
      </c>
      <c r="D160" s="86">
        <v>1</v>
      </c>
      <c r="E160" s="86">
        <v>1</v>
      </c>
      <c r="F160" s="10">
        <f t="shared" si="71"/>
        <v>1</v>
      </c>
      <c r="G160" s="86">
        <f t="shared" si="71"/>
        <v>1</v>
      </c>
      <c r="H160" s="86">
        <f t="shared" si="72"/>
        <v>1</v>
      </c>
      <c r="I160" s="87">
        <f t="shared" si="67"/>
        <v>100</v>
      </c>
      <c r="J160" s="87">
        <f t="shared" si="68"/>
        <v>100</v>
      </c>
      <c r="K160" s="111"/>
    </row>
    <row r="161" spans="1:11" s="88" customFormat="1" ht="22.5" customHeight="1" outlineLevel="1">
      <c r="A161" s="84"/>
      <c r="B161" s="85" t="s">
        <v>142</v>
      </c>
      <c r="C161" s="84" t="s">
        <v>62</v>
      </c>
      <c r="D161" s="86">
        <v>1</v>
      </c>
      <c r="E161" s="86">
        <v>1</v>
      </c>
      <c r="F161" s="10">
        <f t="shared" si="71"/>
        <v>1</v>
      </c>
      <c r="G161" s="86">
        <f t="shared" si="71"/>
        <v>1</v>
      </c>
      <c r="H161" s="86">
        <f t="shared" si="72"/>
        <v>1</v>
      </c>
      <c r="I161" s="87">
        <f t="shared" si="67"/>
        <v>100</v>
      </c>
      <c r="J161" s="87">
        <f t="shared" si="68"/>
        <v>100</v>
      </c>
      <c r="K161" s="111"/>
    </row>
    <row r="162" spans="1:11" s="88" customFormat="1" ht="22.5" customHeight="1" outlineLevel="1">
      <c r="A162" s="84"/>
      <c r="B162" s="85" t="s">
        <v>143</v>
      </c>
      <c r="C162" s="84" t="s">
        <v>62</v>
      </c>
      <c r="D162" s="86">
        <f t="shared" ref="D162:G162" si="73">SUM(D164:D168)</f>
        <v>20</v>
      </c>
      <c r="E162" s="86">
        <f t="shared" si="73"/>
        <v>21</v>
      </c>
      <c r="F162" s="10">
        <f t="shared" ref="F162" si="74">SUM(F164:F168)</f>
        <v>20</v>
      </c>
      <c r="G162" s="86">
        <f t="shared" si="73"/>
        <v>25</v>
      </c>
      <c r="H162" s="86">
        <f t="shared" ref="H162" si="75">SUM(H164:H168)</f>
        <v>21</v>
      </c>
      <c r="I162" s="87">
        <f t="shared" si="67"/>
        <v>84</v>
      </c>
      <c r="J162" s="87">
        <f t="shared" si="68"/>
        <v>105</v>
      </c>
      <c r="K162" s="111"/>
    </row>
    <row r="163" spans="1:11" s="88" customFormat="1" ht="22.5" customHeight="1" outlineLevel="1">
      <c r="A163" s="84"/>
      <c r="B163" s="89" t="s">
        <v>136</v>
      </c>
      <c r="C163" s="84"/>
      <c r="D163" s="86"/>
      <c r="E163" s="86"/>
      <c r="F163" s="10"/>
      <c r="G163" s="86"/>
      <c r="H163" s="86"/>
      <c r="I163" s="87" t="str">
        <f t="shared" si="67"/>
        <v/>
      </c>
      <c r="J163" s="87" t="str">
        <f t="shared" si="68"/>
        <v/>
      </c>
      <c r="K163" s="111"/>
    </row>
    <row r="164" spans="1:11" s="88" customFormat="1" ht="22.5" customHeight="1" outlineLevel="1">
      <c r="A164" s="84"/>
      <c r="B164" s="85" t="s">
        <v>138</v>
      </c>
      <c r="C164" s="84" t="s">
        <v>62</v>
      </c>
      <c r="D164" s="86">
        <v>5</v>
      </c>
      <c r="E164" s="86">
        <v>6</v>
      </c>
      <c r="F164" s="10">
        <v>6</v>
      </c>
      <c r="G164" s="86">
        <v>8</v>
      </c>
      <c r="H164" s="86">
        <v>6</v>
      </c>
      <c r="I164" s="87">
        <f t="shared" si="67"/>
        <v>75</v>
      </c>
      <c r="J164" s="87">
        <f t="shared" si="68"/>
        <v>100</v>
      </c>
      <c r="K164" s="111"/>
    </row>
    <row r="165" spans="1:11" s="88" customFormat="1" ht="22.5" customHeight="1" outlineLevel="1">
      <c r="A165" s="84"/>
      <c r="B165" s="85" t="s">
        <v>139</v>
      </c>
      <c r="C165" s="84" t="s">
        <v>62</v>
      </c>
      <c r="D165" s="86">
        <v>9</v>
      </c>
      <c r="E165" s="86">
        <v>9</v>
      </c>
      <c r="F165" s="10">
        <v>9</v>
      </c>
      <c r="G165" s="86">
        <v>10</v>
      </c>
      <c r="H165" s="86">
        <v>9</v>
      </c>
      <c r="I165" s="87">
        <f t="shared" si="67"/>
        <v>90</v>
      </c>
      <c r="J165" s="87">
        <f t="shared" si="68"/>
        <v>100</v>
      </c>
      <c r="K165" s="111"/>
    </row>
    <row r="166" spans="1:11" s="88" customFormat="1" ht="22.5" customHeight="1" outlineLevel="1">
      <c r="A166" s="84"/>
      <c r="B166" s="85" t="s">
        <v>140</v>
      </c>
      <c r="C166" s="84" t="s">
        <v>62</v>
      </c>
      <c r="D166" s="86">
        <v>4</v>
      </c>
      <c r="E166" s="86">
        <v>4</v>
      </c>
      <c r="F166" s="10">
        <v>3</v>
      </c>
      <c r="G166" s="86">
        <v>5</v>
      </c>
      <c r="H166" s="86">
        <v>4</v>
      </c>
      <c r="I166" s="87">
        <f t="shared" si="67"/>
        <v>80</v>
      </c>
      <c r="J166" s="87">
        <f t="shared" si="68"/>
        <v>133.33333333333334</v>
      </c>
      <c r="K166" s="111"/>
    </row>
    <row r="167" spans="1:11" s="88" customFormat="1" ht="22.5" customHeight="1" outlineLevel="1">
      <c r="A167" s="84"/>
      <c r="B167" s="85" t="s">
        <v>141</v>
      </c>
      <c r="C167" s="84" t="s">
        <v>62</v>
      </c>
      <c r="D167" s="86">
        <v>1</v>
      </c>
      <c r="E167" s="86">
        <v>1</v>
      </c>
      <c r="F167" s="10">
        <v>1</v>
      </c>
      <c r="G167" s="86">
        <v>1</v>
      </c>
      <c r="H167" s="86">
        <v>1</v>
      </c>
      <c r="I167" s="87">
        <f t="shared" si="67"/>
        <v>100</v>
      </c>
      <c r="J167" s="87">
        <f t="shared" si="68"/>
        <v>100</v>
      </c>
      <c r="K167" s="111"/>
    </row>
    <row r="168" spans="1:11" s="88" customFormat="1" ht="22.5" customHeight="1" outlineLevel="1">
      <c r="A168" s="84"/>
      <c r="B168" s="85" t="s">
        <v>142</v>
      </c>
      <c r="C168" s="84" t="s">
        <v>62</v>
      </c>
      <c r="D168" s="86">
        <v>1</v>
      </c>
      <c r="E168" s="86">
        <v>1</v>
      </c>
      <c r="F168" s="10">
        <v>1</v>
      </c>
      <c r="G168" s="86">
        <v>1</v>
      </c>
      <c r="H168" s="86">
        <v>1</v>
      </c>
      <c r="I168" s="87">
        <f t="shared" si="67"/>
        <v>100</v>
      </c>
      <c r="J168" s="87">
        <f t="shared" si="68"/>
        <v>100</v>
      </c>
      <c r="K168" s="111"/>
    </row>
    <row r="169" spans="1:11" ht="22.5" customHeight="1">
      <c r="A169" s="1">
        <v>2</v>
      </c>
      <c r="B169" s="17" t="s">
        <v>63</v>
      </c>
      <c r="C169" s="1" t="s">
        <v>16</v>
      </c>
      <c r="D169" s="61">
        <f t="shared" ref="D169:H169" si="76">D162/D155%</f>
        <v>54.054054054054056</v>
      </c>
      <c r="E169" s="61">
        <f t="shared" si="76"/>
        <v>55.263157894736842</v>
      </c>
      <c r="F169" s="61">
        <f t="shared" ref="F169" si="77">F162/F155%</f>
        <v>54.054054054054056</v>
      </c>
      <c r="G169" s="61">
        <f t="shared" si="76"/>
        <v>65.78947368421052</v>
      </c>
      <c r="H169" s="61">
        <f t="shared" si="76"/>
        <v>55.263157894736842</v>
      </c>
      <c r="I169" s="48">
        <f t="shared" si="67"/>
        <v>84.000000000000014</v>
      </c>
      <c r="J169" s="48">
        <f t="shared" si="68"/>
        <v>102.23684210526315</v>
      </c>
      <c r="K169" s="3"/>
    </row>
    <row r="170" spans="1:11" ht="22.5" hidden="1" customHeight="1" outlineLevel="1">
      <c r="A170" s="1"/>
      <c r="B170" s="27" t="s">
        <v>136</v>
      </c>
      <c r="C170" s="1"/>
      <c r="D170" s="45"/>
      <c r="E170" s="45"/>
      <c r="F170" s="45"/>
      <c r="G170" s="45"/>
      <c r="H170" s="45"/>
      <c r="I170" s="48" t="str">
        <f t="shared" si="67"/>
        <v/>
      </c>
      <c r="J170" s="48" t="str">
        <f t="shared" si="68"/>
        <v/>
      </c>
      <c r="K170" s="3"/>
    </row>
    <row r="171" spans="1:11" ht="22.5" hidden="1" customHeight="1" outlineLevel="1">
      <c r="A171" s="1"/>
      <c r="B171" s="17" t="s">
        <v>138</v>
      </c>
      <c r="C171" s="1" t="s">
        <v>16</v>
      </c>
      <c r="D171" s="45">
        <f t="shared" ref="D171:H175" si="78">D164/D157%</f>
        <v>38.46153846153846</v>
      </c>
      <c r="E171" s="45">
        <f t="shared" si="78"/>
        <v>46.153846153846153</v>
      </c>
      <c r="F171" s="45">
        <f t="shared" ref="F171" si="79">F164/F157%</f>
        <v>46.153846153846153</v>
      </c>
      <c r="G171" s="45">
        <f t="shared" si="78"/>
        <v>61.538461538461533</v>
      </c>
      <c r="H171" s="45">
        <f t="shared" si="78"/>
        <v>46.153846153846153</v>
      </c>
      <c r="I171" s="48">
        <f t="shared" si="67"/>
        <v>75.000000000000014</v>
      </c>
      <c r="J171" s="48">
        <f t="shared" si="68"/>
        <v>100</v>
      </c>
      <c r="K171" s="3"/>
    </row>
    <row r="172" spans="1:11" ht="22.5" hidden="1" customHeight="1" outlineLevel="1">
      <c r="A172" s="1"/>
      <c r="B172" s="17" t="s">
        <v>139</v>
      </c>
      <c r="C172" s="1" t="s">
        <v>16</v>
      </c>
      <c r="D172" s="45">
        <f t="shared" si="78"/>
        <v>69.230769230769226</v>
      </c>
      <c r="E172" s="45">
        <f t="shared" si="78"/>
        <v>64.285714285714278</v>
      </c>
      <c r="F172" s="45">
        <f t="shared" ref="F172" si="80">F165/F158%</f>
        <v>69.230769230769226</v>
      </c>
      <c r="G172" s="45">
        <f t="shared" si="78"/>
        <v>71.428571428571416</v>
      </c>
      <c r="H172" s="45">
        <f t="shared" si="78"/>
        <v>64.285714285714278</v>
      </c>
      <c r="I172" s="48">
        <f t="shared" si="67"/>
        <v>90</v>
      </c>
      <c r="J172" s="48">
        <f t="shared" si="68"/>
        <v>92.857142857142847</v>
      </c>
      <c r="K172" s="3"/>
    </row>
    <row r="173" spans="1:11" ht="22.5" hidden="1" customHeight="1" outlineLevel="1">
      <c r="A173" s="1"/>
      <c r="B173" s="17" t="s">
        <v>140</v>
      </c>
      <c r="C173" s="1" t="s">
        <v>16</v>
      </c>
      <c r="D173" s="45">
        <f t="shared" si="78"/>
        <v>44.444444444444443</v>
      </c>
      <c r="E173" s="45">
        <f t="shared" si="78"/>
        <v>44.444444444444443</v>
      </c>
      <c r="F173" s="45">
        <f t="shared" ref="F173" si="81">F166/F159%</f>
        <v>33.333333333333336</v>
      </c>
      <c r="G173" s="45">
        <f t="shared" si="78"/>
        <v>55.555555555555557</v>
      </c>
      <c r="H173" s="45">
        <f t="shared" si="78"/>
        <v>44.444444444444443</v>
      </c>
      <c r="I173" s="48">
        <f t="shared" si="67"/>
        <v>80</v>
      </c>
      <c r="J173" s="48">
        <f t="shared" si="68"/>
        <v>133.33333333333331</v>
      </c>
      <c r="K173" s="3"/>
    </row>
    <row r="174" spans="1:11" ht="22.5" hidden="1" customHeight="1" outlineLevel="1">
      <c r="A174" s="1"/>
      <c r="B174" s="17" t="s">
        <v>141</v>
      </c>
      <c r="C174" s="1" t="s">
        <v>16</v>
      </c>
      <c r="D174" s="45">
        <f t="shared" si="78"/>
        <v>100</v>
      </c>
      <c r="E174" s="45">
        <f t="shared" si="78"/>
        <v>100</v>
      </c>
      <c r="F174" s="45">
        <f t="shared" ref="F174" si="82">F167/F160%</f>
        <v>100</v>
      </c>
      <c r="G174" s="45">
        <f t="shared" si="78"/>
        <v>100</v>
      </c>
      <c r="H174" s="45">
        <f t="shared" si="78"/>
        <v>100</v>
      </c>
      <c r="I174" s="48">
        <f t="shared" si="67"/>
        <v>100</v>
      </c>
      <c r="J174" s="48">
        <f t="shared" si="68"/>
        <v>100</v>
      </c>
      <c r="K174" s="3"/>
    </row>
    <row r="175" spans="1:11" ht="22.5" hidden="1" customHeight="1" outlineLevel="1">
      <c r="A175" s="1"/>
      <c r="B175" s="17" t="s">
        <v>142</v>
      </c>
      <c r="C175" s="1" t="s">
        <v>16</v>
      </c>
      <c r="D175" s="45">
        <f t="shared" si="78"/>
        <v>100</v>
      </c>
      <c r="E175" s="45">
        <f t="shared" si="78"/>
        <v>100</v>
      </c>
      <c r="F175" s="45">
        <f t="shared" ref="F175" si="83">F168/F161%</f>
        <v>100</v>
      </c>
      <c r="G175" s="45">
        <f t="shared" si="78"/>
        <v>100</v>
      </c>
      <c r="H175" s="45">
        <f t="shared" si="78"/>
        <v>100</v>
      </c>
      <c r="I175" s="48">
        <f t="shared" si="67"/>
        <v>100</v>
      </c>
      <c r="J175" s="48">
        <f t="shared" si="68"/>
        <v>100</v>
      </c>
      <c r="K175" s="3"/>
    </row>
    <row r="176" spans="1:11" ht="22.5" customHeight="1" collapsed="1">
      <c r="A176" s="1">
        <v>3</v>
      </c>
      <c r="B176" s="38" t="s">
        <v>158</v>
      </c>
      <c r="C176" s="1"/>
      <c r="D176" s="10"/>
      <c r="E176" s="10"/>
      <c r="F176" s="10"/>
      <c r="G176" s="10"/>
      <c r="H176" s="10"/>
      <c r="I176" s="48" t="str">
        <f t="shared" si="67"/>
        <v/>
      </c>
      <c r="J176" s="48" t="str">
        <f t="shared" si="68"/>
        <v/>
      </c>
      <c r="K176" s="3"/>
    </row>
    <row r="177" spans="1:12" ht="22.5" customHeight="1">
      <c r="A177" s="60" t="s">
        <v>17</v>
      </c>
      <c r="B177" s="55" t="s">
        <v>83</v>
      </c>
      <c r="C177" s="1" t="s">
        <v>16</v>
      </c>
      <c r="D177" s="128"/>
      <c r="E177" s="128"/>
      <c r="F177" s="128"/>
      <c r="G177" s="128"/>
      <c r="H177" s="128"/>
      <c r="I177" s="48" t="str">
        <f t="shared" si="67"/>
        <v/>
      </c>
      <c r="J177" s="48" t="str">
        <f t="shared" si="68"/>
        <v/>
      </c>
      <c r="K177" s="3"/>
    </row>
    <row r="178" spans="1:12" ht="22.5" customHeight="1">
      <c r="A178" s="60"/>
      <c r="B178" s="57" t="s">
        <v>84</v>
      </c>
      <c r="C178" s="1" t="s">
        <v>16</v>
      </c>
      <c r="D178" s="128">
        <v>11.7</v>
      </c>
      <c r="E178" s="128">
        <v>12.1</v>
      </c>
      <c r="F178" s="128"/>
      <c r="G178" s="128">
        <v>12.5</v>
      </c>
      <c r="H178" s="128">
        <v>13.6</v>
      </c>
      <c r="I178" s="48">
        <f t="shared" si="67"/>
        <v>108.8</v>
      </c>
      <c r="J178" s="48" t="str">
        <f t="shared" si="68"/>
        <v/>
      </c>
      <c r="K178" s="3"/>
    </row>
    <row r="179" spans="1:12" ht="22.5" customHeight="1">
      <c r="A179" s="60"/>
      <c r="B179" s="57" t="s">
        <v>85</v>
      </c>
      <c r="C179" s="1" t="s">
        <v>16</v>
      </c>
      <c r="D179" s="128">
        <v>97.9</v>
      </c>
      <c r="E179" s="128">
        <v>97.2</v>
      </c>
      <c r="F179" s="128"/>
      <c r="G179" s="128">
        <v>98</v>
      </c>
      <c r="H179" s="128">
        <v>97.7</v>
      </c>
      <c r="I179" s="48">
        <f t="shared" si="67"/>
        <v>99.693877551020407</v>
      </c>
      <c r="J179" s="48" t="str">
        <f t="shared" si="68"/>
        <v/>
      </c>
      <c r="K179" s="3"/>
    </row>
    <row r="180" spans="1:12" ht="22.5" customHeight="1">
      <c r="A180" s="60" t="s">
        <v>18</v>
      </c>
      <c r="B180" s="55" t="s">
        <v>104</v>
      </c>
      <c r="C180" s="1" t="s">
        <v>16</v>
      </c>
      <c r="D180" s="128">
        <v>99.9</v>
      </c>
      <c r="E180" s="128">
        <v>100</v>
      </c>
      <c r="F180" s="128"/>
      <c r="G180" s="128">
        <v>100</v>
      </c>
      <c r="H180" s="128">
        <v>100</v>
      </c>
      <c r="I180" s="48">
        <f t="shared" si="67"/>
        <v>100</v>
      </c>
      <c r="J180" s="48" t="str">
        <f t="shared" si="68"/>
        <v/>
      </c>
      <c r="K180" s="3"/>
    </row>
    <row r="181" spans="1:12" ht="22.5" customHeight="1">
      <c r="A181" s="60" t="s">
        <v>19</v>
      </c>
      <c r="B181" s="55" t="s">
        <v>159</v>
      </c>
      <c r="C181" s="1" t="s">
        <v>16</v>
      </c>
      <c r="D181" s="128">
        <v>96.2</v>
      </c>
      <c r="E181" s="128">
        <v>99.8</v>
      </c>
      <c r="F181" s="128"/>
      <c r="G181" s="128">
        <v>100</v>
      </c>
      <c r="H181" s="128">
        <v>98.6</v>
      </c>
      <c r="I181" s="48">
        <f t="shared" ref="I181:I199" si="84">IFERROR(H181/G181%,"")</f>
        <v>98.6</v>
      </c>
      <c r="J181" s="48" t="str">
        <f t="shared" ref="J181:J199" si="85">IFERROR(H181/F181%,"")</f>
        <v/>
      </c>
      <c r="K181" s="3"/>
    </row>
    <row r="182" spans="1:12" ht="22.5" customHeight="1">
      <c r="A182" s="8" t="s">
        <v>28</v>
      </c>
      <c r="B182" s="12" t="s">
        <v>145</v>
      </c>
      <c r="C182" s="1"/>
      <c r="D182" s="10"/>
      <c r="E182" s="10"/>
      <c r="F182" s="10"/>
      <c r="G182" s="10"/>
      <c r="H182" s="10"/>
      <c r="I182" s="53" t="str">
        <f t="shared" si="84"/>
        <v/>
      </c>
      <c r="J182" s="53" t="str">
        <f t="shared" si="85"/>
        <v/>
      </c>
      <c r="K182" s="3"/>
    </row>
    <row r="183" spans="1:12" ht="22.5" customHeight="1">
      <c r="A183" s="1">
        <v>1</v>
      </c>
      <c r="B183" s="17" t="s">
        <v>146</v>
      </c>
      <c r="C183" s="1" t="s">
        <v>64</v>
      </c>
      <c r="D183" s="10">
        <v>130</v>
      </c>
      <c r="E183" s="10">
        <v>130</v>
      </c>
      <c r="F183" s="10">
        <v>130</v>
      </c>
      <c r="G183" s="10">
        <v>135</v>
      </c>
      <c r="H183" s="10">
        <v>130</v>
      </c>
      <c r="I183" s="48">
        <f t="shared" si="84"/>
        <v>96.296296296296291</v>
      </c>
      <c r="J183" s="48">
        <f t="shared" si="85"/>
        <v>100</v>
      </c>
      <c r="K183" s="3"/>
    </row>
    <row r="184" spans="1:12" ht="24" customHeight="1">
      <c r="A184" s="1">
        <v>2</v>
      </c>
      <c r="B184" s="17" t="s">
        <v>202</v>
      </c>
      <c r="C184" s="1" t="s">
        <v>144</v>
      </c>
      <c r="D184" s="10">
        <v>2</v>
      </c>
      <c r="E184" s="10">
        <v>4</v>
      </c>
      <c r="F184" s="10">
        <v>4</v>
      </c>
      <c r="G184" s="10">
        <v>7</v>
      </c>
      <c r="H184" s="10">
        <v>4</v>
      </c>
      <c r="I184" s="48">
        <f t="shared" si="84"/>
        <v>57.142857142857139</v>
      </c>
      <c r="J184" s="48">
        <f t="shared" si="85"/>
        <v>100</v>
      </c>
      <c r="K184" s="3"/>
    </row>
    <row r="185" spans="1:12" ht="21" customHeight="1">
      <c r="A185" s="1"/>
      <c r="B185" s="37" t="s">
        <v>203</v>
      </c>
      <c r="C185" s="1" t="s">
        <v>16</v>
      </c>
      <c r="D185" s="45">
        <f t="shared" ref="D185:H185" si="86">D184/9%</f>
        <v>22.222222222222221</v>
      </c>
      <c r="E185" s="45">
        <f t="shared" si="86"/>
        <v>44.444444444444443</v>
      </c>
      <c r="F185" s="45">
        <f t="shared" ref="F185" si="87">F184/9%</f>
        <v>44.444444444444443</v>
      </c>
      <c r="G185" s="45">
        <f t="shared" si="86"/>
        <v>77.777777777777786</v>
      </c>
      <c r="H185" s="45">
        <f t="shared" si="86"/>
        <v>44.444444444444443</v>
      </c>
      <c r="I185" s="48">
        <f t="shared" si="84"/>
        <v>57.142857142857132</v>
      </c>
      <c r="J185" s="48">
        <f t="shared" si="85"/>
        <v>100</v>
      </c>
      <c r="K185" s="3"/>
    </row>
    <row r="186" spans="1:12" ht="21.75" customHeight="1">
      <c r="A186" s="1">
        <v>3</v>
      </c>
      <c r="B186" s="29" t="s">
        <v>82</v>
      </c>
      <c r="C186" s="1" t="s">
        <v>16</v>
      </c>
      <c r="D186" s="45">
        <v>83.5</v>
      </c>
      <c r="E186" s="45">
        <v>85</v>
      </c>
      <c r="F186" s="45"/>
      <c r="G186" s="45">
        <v>90</v>
      </c>
      <c r="H186" s="45"/>
      <c r="I186" s="48">
        <f t="shared" si="84"/>
        <v>0</v>
      </c>
      <c r="J186" s="48" t="str">
        <f t="shared" si="85"/>
        <v/>
      </c>
      <c r="K186" s="3"/>
    </row>
    <row r="187" spans="1:12" ht="31.2">
      <c r="A187" s="1">
        <v>4</v>
      </c>
      <c r="B187" s="29" t="s">
        <v>180</v>
      </c>
      <c r="C187" s="1" t="s">
        <v>16</v>
      </c>
      <c r="D187" s="61">
        <v>33.1</v>
      </c>
      <c r="E187" s="45">
        <v>31.8</v>
      </c>
      <c r="F187" s="45"/>
      <c r="G187" s="45">
        <v>31.3</v>
      </c>
      <c r="H187" s="45"/>
      <c r="I187" s="48">
        <f t="shared" si="84"/>
        <v>0</v>
      </c>
      <c r="J187" s="48" t="str">
        <f t="shared" si="85"/>
        <v/>
      </c>
      <c r="K187" s="3"/>
    </row>
    <row r="188" spans="1:12" ht="31.2">
      <c r="A188" s="1">
        <v>5</v>
      </c>
      <c r="B188" s="29" t="s">
        <v>181</v>
      </c>
      <c r="C188" s="1" t="s">
        <v>16</v>
      </c>
      <c r="D188" s="61">
        <v>20.6</v>
      </c>
      <c r="E188" s="45">
        <v>20</v>
      </c>
      <c r="F188" s="45">
        <v>20</v>
      </c>
      <c r="G188" s="45">
        <v>19.5</v>
      </c>
      <c r="H188" s="45"/>
      <c r="I188" s="48">
        <f t="shared" si="84"/>
        <v>0</v>
      </c>
      <c r="J188" s="48">
        <f t="shared" si="85"/>
        <v>0</v>
      </c>
      <c r="K188" s="3"/>
    </row>
    <row r="189" spans="1:12" ht="31.2">
      <c r="A189" s="8" t="s">
        <v>29</v>
      </c>
      <c r="B189" s="123" t="s">
        <v>86</v>
      </c>
      <c r="C189" s="9"/>
      <c r="D189" s="10"/>
      <c r="E189" s="10"/>
      <c r="F189" s="10"/>
      <c r="G189" s="10"/>
      <c r="H189" s="10"/>
      <c r="I189" s="53" t="str">
        <f t="shared" si="84"/>
        <v/>
      </c>
      <c r="J189" s="53" t="str">
        <f t="shared" si="85"/>
        <v/>
      </c>
      <c r="K189" s="3"/>
    </row>
    <row r="190" spans="1:12" ht="22.5" customHeight="1">
      <c r="A190" s="8">
        <v>1</v>
      </c>
      <c r="B190" s="44" t="s">
        <v>87</v>
      </c>
      <c r="C190" s="9"/>
      <c r="D190" s="10"/>
      <c r="E190" s="10"/>
      <c r="F190" s="10"/>
      <c r="G190" s="10"/>
      <c r="H190" s="10"/>
      <c r="I190" s="53" t="str">
        <f t="shared" si="84"/>
        <v/>
      </c>
      <c r="J190" s="53" t="str">
        <f t="shared" si="85"/>
        <v/>
      </c>
      <c r="K190" s="3"/>
    </row>
    <row r="191" spans="1:12" ht="22.5" customHeight="1">
      <c r="A191" s="16"/>
      <c r="B191" s="38" t="s">
        <v>88</v>
      </c>
      <c r="C191" s="18" t="s">
        <v>3</v>
      </c>
      <c r="D191" s="49">
        <v>1560</v>
      </c>
      <c r="E191" s="49">
        <v>1560</v>
      </c>
      <c r="F191" s="49">
        <v>1248</v>
      </c>
      <c r="G191" s="49">
        <f>E191</f>
        <v>1560</v>
      </c>
      <c r="H191" s="49">
        <f>G191/12*8</f>
        <v>1040</v>
      </c>
      <c r="I191" s="48">
        <f t="shared" si="84"/>
        <v>66.666666666666671</v>
      </c>
      <c r="J191" s="48">
        <f t="shared" si="85"/>
        <v>83.333333333333329</v>
      </c>
      <c r="K191" s="3"/>
    </row>
    <row r="192" spans="1:12" ht="22.5" customHeight="1">
      <c r="A192" s="16"/>
      <c r="B192" s="38" t="s">
        <v>89</v>
      </c>
      <c r="C192" s="18" t="s">
        <v>3</v>
      </c>
      <c r="D192" s="49">
        <v>21800</v>
      </c>
      <c r="E192" s="49">
        <v>21800</v>
      </c>
      <c r="F192" s="49">
        <v>16320</v>
      </c>
      <c r="G192" s="49">
        <f>E192</f>
        <v>21800</v>
      </c>
      <c r="H192" s="49">
        <f>G192/12*8</f>
        <v>14533.333333333334</v>
      </c>
      <c r="I192" s="48">
        <f t="shared" si="84"/>
        <v>66.666666666666671</v>
      </c>
      <c r="J192" s="48">
        <f t="shared" si="85"/>
        <v>89.05228758169936</v>
      </c>
      <c r="K192" s="3"/>
      <c r="L192" s="63"/>
    </row>
    <row r="193" spans="1:11" ht="22.5" customHeight="1">
      <c r="A193" s="8">
        <v>2</v>
      </c>
      <c r="B193" s="44" t="s">
        <v>90</v>
      </c>
      <c r="C193" s="18"/>
      <c r="D193" s="49"/>
      <c r="E193" s="49"/>
      <c r="F193" s="49"/>
      <c r="G193" s="49"/>
      <c r="H193" s="49"/>
      <c r="I193" s="53" t="str">
        <f t="shared" si="84"/>
        <v/>
      </c>
      <c r="J193" s="53" t="str">
        <f t="shared" si="85"/>
        <v/>
      </c>
      <c r="K193" s="3"/>
    </row>
    <row r="194" spans="1:11" ht="22.5" hidden="1" customHeight="1" outlineLevel="1">
      <c r="A194" s="16" t="s">
        <v>65</v>
      </c>
      <c r="B194" s="38" t="s">
        <v>92</v>
      </c>
      <c r="C194" s="18" t="s">
        <v>93</v>
      </c>
      <c r="D194" s="49">
        <v>9233</v>
      </c>
      <c r="E194" s="49">
        <f>E133*E195%</f>
        <v>9781.42</v>
      </c>
      <c r="F194" s="49"/>
      <c r="G194" s="49">
        <f>G133*G195%</f>
        <v>10744.2</v>
      </c>
      <c r="H194" s="49">
        <f t="shared" ref="H194" si="88">H133*H195%</f>
        <v>0</v>
      </c>
      <c r="I194" s="48">
        <f t="shared" si="84"/>
        <v>0</v>
      </c>
      <c r="J194" s="48" t="str">
        <f t="shared" si="85"/>
        <v/>
      </c>
      <c r="K194" s="3"/>
    </row>
    <row r="195" spans="1:11" ht="22.5" customHeight="1" collapsed="1">
      <c r="A195" s="1"/>
      <c r="B195" s="38" t="s">
        <v>94</v>
      </c>
      <c r="C195" s="33" t="s">
        <v>16</v>
      </c>
      <c r="D195" s="49">
        <v>85.6</v>
      </c>
      <c r="E195" s="48">
        <v>86.5</v>
      </c>
      <c r="F195" s="48"/>
      <c r="G195" s="48">
        <v>90</v>
      </c>
      <c r="H195" s="48"/>
      <c r="I195" s="48">
        <f t="shared" si="84"/>
        <v>0</v>
      </c>
      <c r="J195" s="48" t="str">
        <f t="shared" si="85"/>
        <v/>
      </c>
      <c r="K195" s="3"/>
    </row>
    <row r="196" spans="1:11" ht="22.5" hidden="1" customHeight="1" outlineLevel="1">
      <c r="A196" s="16" t="s">
        <v>65</v>
      </c>
      <c r="B196" s="38" t="s">
        <v>96</v>
      </c>
      <c r="C196" s="18" t="s">
        <v>97</v>
      </c>
      <c r="D196" s="49">
        <v>58</v>
      </c>
      <c r="E196" s="48">
        <f>67*E197%</f>
        <v>57.954999999999998</v>
      </c>
      <c r="F196" s="48"/>
      <c r="G196" s="48">
        <f t="shared" ref="G196:H196" si="89">67*G197%</f>
        <v>60.97</v>
      </c>
      <c r="H196" s="48">
        <f t="shared" si="89"/>
        <v>0</v>
      </c>
      <c r="I196" s="48">
        <f t="shared" si="84"/>
        <v>0</v>
      </c>
      <c r="J196" s="48" t="str">
        <f t="shared" si="85"/>
        <v/>
      </c>
      <c r="K196" s="3"/>
    </row>
    <row r="197" spans="1:11" ht="22.5" customHeight="1" collapsed="1">
      <c r="A197" s="1"/>
      <c r="B197" s="38" t="s">
        <v>71</v>
      </c>
      <c r="C197" s="33" t="s">
        <v>16</v>
      </c>
      <c r="D197" s="49">
        <f>D196/67%</f>
        <v>86.567164179104466</v>
      </c>
      <c r="E197" s="48">
        <v>86.5</v>
      </c>
      <c r="F197" s="48"/>
      <c r="G197" s="48">
        <v>91</v>
      </c>
      <c r="H197" s="48"/>
      <c r="I197" s="48">
        <f t="shared" si="84"/>
        <v>0</v>
      </c>
      <c r="J197" s="48" t="str">
        <f t="shared" si="85"/>
        <v/>
      </c>
      <c r="K197" s="3"/>
    </row>
    <row r="198" spans="1:11" ht="22.5" customHeight="1">
      <c r="A198" s="16" t="s">
        <v>65</v>
      </c>
      <c r="B198" s="38" t="s">
        <v>99</v>
      </c>
      <c r="C198" s="18" t="s">
        <v>100</v>
      </c>
      <c r="D198" s="49">
        <v>88</v>
      </c>
      <c r="E198" s="49">
        <v>90</v>
      </c>
      <c r="F198" s="49"/>
      <c r="G198" s="49">
        <v>90</v>
      </c>
      <c r="H198" s="49"/>
      <c r="I198" s="48">
        <f t="shared" si="84"/>
        <v>0</v>
      </c>
      <c r="J198" s="48" t="str">
        <f t="shared" si="85"/>
        <v/>
      </c>
      <c r="K198" s="3"/>
    </row>
    <row r="199" spans="1:11" ht="22.5" customHeight="1">
      <c r="A199" s="16" t="s">
        <v>65</v>
      </c>
      <c r="B199" s="17" t="s">
        <v>151</v>
      </c>
      <c r="C199" s="1" t="s">
        <v>37</v>
      </c>
      <c r="D199" s="49">
        <v>4</v>
      </c>
      <c r="E199" s="49">
        <v>4</v>
      </c>
      <c r="F199" s="49">
        <v>4</v>
      </c>
      <c r="G199" s="49">
        <v>4</v>
      </c>
      <c r="H199" s="49">
        <v>4</v>
      </c>
      <c r="I199" s="48">
        <f t="shared" si="84"/>
        <v>100</v>
      </c>
      <c r="J199" s="48">
        <f t="shared" si="85"/>
        <v>100</v>
      </c>
      <c r="K199" s="3"/>
    </row>
    <row r="200" spans="1:11">
      <c r="A200" s="4"/>
      <c r="B200" s="52"/>
      <c r="C200" s="4"/>
      <c r="D200" s="52"/>
      <c r="E200" s="52"/>
      <c r="F200" s="52"/>
      <c r="G200" s="52"/>
      <c r="H200" s="52"/>
      <c r="I200" s="52"/>
      <c r="J200" s="52"/>
      <c r="K200" s="52"/>
    </row>
  </sheetData>
  <mergeCells count="13">
    <mergeCell ref="A1:K1"/>
    <mergeCell ref="A2:K2"/>
    <mergeCell ref="A3:K3"/>
    <mergeCell ref="A5:A6"/>
    <mergeCell ref="B5:B6"/>
    <mergeCell ref="C5:C6"/>
    <mergeCell ref="D5:D6"/>
    <mergeCell ref="E5:E6"/>
    <mergeCell ref="K5:K6"/>
    <mergeCell ref="F5:F6"/>
    <mergeCell ref="G5:G6"/>
    <mergeCell ref="H5:H6"/>
    <mergeCell ref="I5:J5"/>
  </mergeCells>
  <pageMargins left="0.47244094488188981" right="0.39370078740157483" top="0.59055118110236227" bottom="0.47244094488188981" header="0.31496062992125984" footer="0.31496062992125984"/>
  <pageSetup paperSize="9" scale="74" fitToHeight="0" orientation="portrait" r:id="rId1"/>
  <headerFooter>
    <oddFooter>&amp;R&amp;"Times New Roman,Regular"&amp;P/&amp;N</oddFooter>
  </headerFooter>
  <ignoredErrors>
    <ignoredError sqref="F19:H30 F39:I42" formula="1"/>
    <ignoredError sqref="F101:H10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71"/>
  <sheetViews>
    <sheetView zoomScale="70" zoomScaleNormal="70" workbookViewId="0">
      <pane xSplit="2" ySplit="9" topLeftCell="C20" activePane="bottomRight" state="frozen"/>
      <selection activeCell="H40" sqref="H40"/>
      <selection pane="topRight" activeCell="H40" sqref="H40"/>
      <selection pane="bottomLeft" activeCell="H40" sqref="H40"/>
      <selection pane="bottomRight" activeCell="H40" sqref="H40"/>
    </sheetView>
  </sheetViews>
  <sheetFormatPr defaultRowHeight="13.2" outlineLevelRow="1"/>
  <cols>
    <col min="1" max="1" width="5.6640625" style="249" customWidth="1"/>
    <col min="2" max="2" width="35.5546875" style="249" customWidth="1"/>
    <col min="3" max="3" width="9.44140625" style="249" customWidth="1"/>
    <col min="4" max="11" width="10.44140625" style="249" customWidth="1"/>
    <col min="12" max="255" width="8.88671875" style="249"/>
    <col min="256" max="256" width="5.6640625" style="249" customWidth="1"/>
    <col min="257" max="257" width="34.33203125" style="249" customWidth="1"/>
    <col min="258" max="258" width="9.44140625" style="249" customWidth="1"/>
    <col min="259" max="266" width="10.44140625" style="249" customWidth="1"/>
    <col min="267" max="267" width="8.88671875" style="249"/>
    <col min="268" max="268" width="0" style="249" hidden="1" customWidth="1"/>
    <col min="269" max="511" width="8.88671875" style="249"/>
    <col min="512" max="512" width="5.6640625" style="249" customWidth="1"/>
    <col min="513" max="513" width="34.33203125" style="249" customWidth="1"/>
    <col min="514" max="514" width="9.44140625" style="249" customWidth="1"/>
    <col min="515" max="522" width="10.44140625" style="249" customWidth="1"/>
    <col min="523" max="523" width="8.88671875" style="249"/>
    <col min="524" max="524" width="0" style="249" hidden="1" customWidth="1"/>
    <col min="525" max="767" width="8.88671875" style="249"/>
    <col min="768" max="768" width="5.6640625" style="249" customWidth="1"/>
    <col min="769" max="769" width="34.33203125" style="249" customWidth="1"/>
    <col min="770" max="770" width="9.44140625" style="249" customWidth="1"/>
    <col min="771" max="778" width="10.44140625" style="249" customWidth="1"/>
    <col min="779" max="779" width="8.88671875" style="249"/>
    <col min="780" max="780" width="0" style="249" hidden="1" customWidth="1"/>
    <col min="781" max="1023" width="8.88671875" style="249"/>
    <col min="1024" max="1024" width="5.6640625" style="249" customWidth="1"/>
    <col min="1025" max="1025" width="34.33203125" style="249" customWidth="1"/>
    <col min="1026" max="1026" width="9.44140625" style="249" customWidth="1"/>
    <col min="1027" max="1034" width="10.44140625" style="249" customWidth="1"/>
    <col min="1035" max="1035" width="8.88671875" style="249"/>
    <col min="1036" max="1036" width="0" style="249" hidden="1" customWidth="1"/>
    <col min="1037" max="1279" width="8.88671875" style="249"/>
    <col min="1280" max="1280" width="5.6640625" style="249" customWidth="1"/>
    <col min="1281" max="1281" width="34.33203125" style="249" customWidth="1"/>
    <col min="1282" max="1282" width="9.44140625" style="249" customWidth="1"/>
    <col min="1283" max="1290" width="10.44140625" style="249" customWidth="1"/>
    <col min="1291" max="1291" width="8.88671875" style="249"/>
    <col min="1292" max="1292" width="0" style="249" hidden="1" customWidth="1"/>
    <col min="1293" max="1535" width="8.88671875" style="249"/>
    <col min="1536" max="1536" width="5.6640625" style="249" customWidth="1"/>
    <col min="1537" max="1537" width="34.33203125" style="249" customWidth="1"/>
    <col min="1538" max="1538" width="9.44140625" style="249" customWidth="1"/>
    <col min="1539" max="1546" width="10.44140625" style="249" customWidth="1"/>
    <col min="1547" max="1547" width="8.88671875" style="249"/>
    <col min="1548" max="1548" width="0" style="249" hidden="1" customWidth="1"/>
    <col min="1549" max="1791" width="8.88671875" style="249"/>
    <col min="1792" max="1792" width="5.6640625" style="249" customWidth="1"/>
    <col min="1793" max="1793" width="34.33203125" style="249" customWidth="1"/>
    <col min="1794" max="1794" width="9.44140625" style="249" customWidth="1"/>
    <col min="1795" max="1802" width="10.44140625" style="249" customWidth="1"/>
    <col min="1803" max="1803" width="8.88671875" style="249"/>
    <col min="1804" max="1804" width="0" style="249" hidden="1" customWidth="1"/>
    <col min="1805" max="2047" width="8.88671875" style="249"/>
    <col min="2048" max="2048" width="5.6640625" style="249" customWidth="1"/>
    <col min="2049" max="2049" width="34.33203125" style="249" customWidth="1"/>
    <col min="2050" max="2050" width="9.44140625" style="249" customWidth="1"/>
    <col min="2051" max="2058" width="10.44140625" style="249" customWidth="1"/>
    <col min="2059" max="2059" width="8.88671875" style="249"/>
    <col min="2060" max="2060" width="0" style="249" hidden="1" customWidth="1"/>
    <col min="2061" max="2303" width="8.88671875" style="249"/>
    <col min="2304" max="2304" width="5.6640625" style="249" customWidth="1"/>
    <col min="2305" max="2305" width="34.33203125" style="249" customWidth="1"/>
    <col min="2306" max="2306" width="9.44140625" style="249" customWidth="1"/>
    <col min="2307" max="2314" width="10.44140625" style="249" customWidth="1"/>
    <col min="2315" max="2315" width="8.88671875" style="249"/>
    <col min="2316" max="2316" width="0" style="249" hidden="1" customWidth="1"/>
    <col min="2317" max="2559" width="8.88671875" style="249"/>
    <col min="2560" max="2560" width="5.6640625" style="249" customWidth="1"/>
    <col min="2561" max="2561" width="34.33203125" style="249" customWidth="1"/>
    <col min="2562" max="2562" width="9.44140625" style="249" customWidth="1"/>
    <col min="2563" max="2570" width="10.44140625" style="249" customWidth="1"/>
    <col min="2571" max="2571" width="8.88671875" style="249"/>
    <col min="2572" max="2572" width="0" style="249" hidden="1" customWidth="1"/>
    <col min="2573" max="2815" width="8.88671875" style="249"/>
    <col min="2816" max="2816" width="5.6640625" style="249" customWidth="1"/>
    <col min="2817" max="2817" width="34.33203125" style="249" customWidth="1"/>
    <col min="2818" max="2818" width="9.44140625" style="249" customWidth="1"/>
    <col min="2819" max="2826" width="10.44140625" style="249" customWidth="1"/>
    <col min="2827" max="2827" width="8.88671875" style="249"/>
    <col min="2828" max="2828" width="0" style="249" hidden="1" customWidth="1"/>
    <col min="2829" max="3071" width="8.88671875" style="249"/>
    <col min="3072" max="3072" width="5.6640625" style="249" customWidth="1"/>
    <col min="3073" max="3073" width="34.33203125" style="249" customWidth="1"/>
    <col min="3074" max="3074" width="9.44140625" style="249" customWidth="1"/>
    <col min="3075" max="3082" width="10.44140625" style="249" customWidth="1"/>
    <col min="3083" max="3083" width="8.88671875" style="249"/>
    <col min="3084" max="3084" width="0" style="249" hidden="1" customWidth="1"/>
    <col min="3085" max="3327" width="8.88671875" style="249"/>
    <col min="3328" max="3328" width="5.6640625" style="249" customWidth="1"/>
    <col min="3329" max="3329" width="34.33203125" style="249" customWidth="1"/>
    <col min="3330" max="3330" width="9.44140625" style="249" customWidth="1"/>
    <col min="3331" max="3338" width="10.44140625" style="249" customWidth="1"/>
    <col min="3339" max="3339" width="8.88671875" style="249"/>
    <col min="3340" max="3340" width="0" style="249" hidden="1" customWidth="1"/>
    <col min="3341" max="3583" width="8.88671875" style="249"/>
    <col min="3584" max="3584" width="5.6640625" style="249" customWidth="1"/>
    <col min="3585" max="3585" width="34.33203125" style="249" customWidth="1"/>
    <col min="3586" max="3586" width="9.44140625" style="249" customWidth="1"/>
    <col min="3587" max="3594" width="10.44140625" style="249" customWidth="1"/>
    <col min="3595" max="3595" width="8.88671875" style="249"/>
    <col min="3596" max="3596" width="0" style="249" hidden="1" customWidth="1"/>
    <col min="3597" max="3839" width="8.88671875" style="249"/>
    <col min="3840" max="3840" width="5.6640625" style="249" customWidth="1"/>
    <col min="3841" max="3841" width="34.33203125" style="249" customWidth="1"/>
    <col min="3842" max="3842" width="9.44140625" style="249" customWidth="1"/>
    <col min="3843" max="3850" width="10.44140625" style="249" customWidth="1"/>
    <col min="3851" max="3851" width="8.88671875" style="249"/>
    <col min="3852" max="3852" width="0" style="249" hidden="1" customWidth="1"/>
    <col min="3853" max="4095" width="8.88671875" style="249"/>
    <col min="4096" max="4096" width="5.6640625" style="249" customWidth="1"/>
    <col min="4097" max="4097" width="34.33203125" style="249" customWidth="1"/>
    <col min="4098" max="4098" width="9.44140625" style="249" customWidth="1"/>
    <col min="4099" max="4106" width="10.44140625" style="249" customWidth="1"/>
    <col min="4107" max="4107" width="8.88671875" style="249"/>
    <col min="4108" max="4108" width="0" style="249" hidden="1" customWidth="1"/>
    <col min="4109" max="4351" width="8.88671875" style="249"/>
    <col min="4352" max="4352" width="5.6640625" style="249" customWidth="1"/>
    <col min="4353" max="4353" width="34.33203125" style="249" customWidth="1"/>
    <col min="4354" max="4354" width="9.44140625" style="249" customWidth="1"/>
    <col min="4355" max="4362" width="10.44140625" style="249" customWidth="1"/>
    <col min="4363" max="4363" width="8.88671875" style="249"/>
    <col min="4364" max="4364" width="0" style="249" hidden="1" customWidth="1"/>
    <col min="4365" max="4607" width="8.88671875" style="249"/>
    <col min="4608" max="4608" width="5.6640625" style="249" customWidth="1"/>
    <col min="4609" max="4609" width="34.33203125" style="249" customWidth="1"/>
    <col min="4610" max="4610" width="9.44140625" style="249" customWidth="1"/>
    <col min="4611" max="4618" width="10.44140625" style="249" customWidth="1"/>
    <col min="4619" max="4619" width="8.88671875" style="249"/>
    <col min="4620" max="4620" width="0" style="249" hidden="1" customWidth="1"/>
    <col min="4621" max="4863" width="8.88671875" style="249"/>
    <col min="4864" max="4864" width="5.6640625" style="249" customWidth="1"/>
    <col min="4865" max="4865" width="34.33203125" style="249" customWidth="1"/>
    <col min="4866" max="4866" width="9.44140625" style="249" customWidth="1"/>
    <col min="4867" max="4874" width="10.44140625" style="249" customWidth="1"/>
    <col min="4875" max="4875" width="8.88671875" style="249"/>
    <col min="4876" max="4876" width="0" style="249" hidden="1" customWidth="1"/>
    <col min="4877" max="5119" width="8.88671875" style="249"/>
    <col min="5120" max="5120" width="5.6640625" style="249" customWidth="1"/>
    <col min="5121" max="5121" width="34.33203125" style="249" customWidth="1"/>
    <col min="5122" max="5122" width="9.44140625" style="249" customWidth="1"/>
    <col min="5123" max="5130" width="10.44140625" style="249" customWidth="1"/>
    <col min="5131" max="5131" width="8.88671875" style="249"/>
    <col min="5132" max="5132" width="0" style="249" hidden="1" customWidth="1"/>
    <col min="5133" max="5375" width="8.88671875" style="249"/>
    <col min="5376" max="5376" width="5.6640625" style="249" customWidth="1"/>
    <col min="5377" max="5377" width="34.33203125" style="249" customWidth="1"/>
    <col min="5378" max="5378" width="9.44140625" style="249" customWidth="1"/>
    <col min="5379" max="5386" width="10.44140625" style="249" customWidth="1"/>
    <col min="5387" max="5387" width="8.88671875" style="249"/>
    <col min="5388" max="5388" width="0" style="249" hidden="1" customWidth="1"/>
    <col min="5389" max="5631" width="8.88671875" style="249"/>
    <col min="5632" max="5632" width="5.6640625" style="249" customWidth="1"/>
    <col min="5633" max="5633" width="34.33203125" style="249" customWidth="1"/>
    <col min="5634" max="5634" width="9.44140625" style="249" customWidth="1"/>
    <col min="5635" max="5642" width="10.44140625" style="249" customWidth="1"/>
    <col min="5643" max="5643" width="8.88671875" style="249"/>
    <col min="5644" max="5644" width="0" style="249" hidden="1" customWidth="1"/>
    <col min="5645" max="5887" width="8.88671875" style="249"/>
    <col min="5888" max="5888" width="5.6640625" style="249" customWidth="1"/>
    <col min="5889" max="5889" width="34.33203125" style="249" customWidth="1"/>
    <col min="5890" max="5890" width="9.44140625" style="249" customWidth="1"/>
    <col min="5891" max="5898" width="10.44140625" style="249" customWidth="1"/>
    <col min="5899" max="5899" width="8.88671875" style="249"/>
    <col min="5900" max="5900" width="0" style="249" hidden="1" customWidth="1"/>
    <col min="5901" max="6143" width="8.88671875" style="249"/>
    <col min="6144" max="6144" width="5.6640625" style="249" customWidth="1"/>
    <col min="6145" max="6145" width="34.33203125" style="249" customWidth="1"/>
    <col min="6146" max="6146" width="9.44140625" style="249" customWidth="1"/>
    <col min="6147" max="6154" width="10.44140625" style="249" customWidth="1"/>
    <col min="6155" max="6155" width="8.88671875" style="249"/>
    <col min="6156" max="6156" width="0" style="249" hidden="1" customWidth="1"/>
    <col min="6157" max="6399" width="8.88671875" style="249"/>
    <col min="6400" max="6400" width="5.6640625" style="249" customWidth="1"/>
    <col min="6401" max="6401" width="34.33203125" style="249" customWidth="1"/>
    <col min="6402" max="6402" width="9.44140625" style="249" customWidth="1"/>
    <col min="6403" max="6410" width="10.44140625" style="249" customWidth="1"/>
    <col min="6411" max="6411" width="8.88671875" style="249"/>
    <col min="6412" max="6412" width="0" style="249" hidden="1" customWidth="1"/>
    <col min="6413" max="6655" width="8.88671875" style="249"/>
    <col min="6656" max="6656" width="5.6640625" style="249" customWidth="1"/>
    <col min="6657" max="6657" width="34.33203125" style="249" customWidth="1"/>
    <col min="6658" max="6658" width="9.44140625" style="249" customWidth="1"/>
    <col min="6659" max="6666" width="10.44140625" style="249" customWidth="1"/>
    <col min="6667" max="6667" width="8.88671875" style="249"/>
    <col min="6668" max="6668" width="0" style="249" hidden="1" customWidth="1"/>
    <col min="6669" max="6911" width="8.88671875" style="249"/>
    <col min="6912" max="6912" width="5.6640625" style="249" customWidth="1"/>
    <col min="6913" max="6913" width="34.33203125" style="249" customWidth="1"/>
    <col min="6914" max="6914" width="9.44140625" style="249" customWidth="1"/>
    <col min="6915" max="6922" width="10.44140625" style="249" customWidth="1"/>
    <col min="6923" max="6923" width="8.88671875" style="249"/>
    <col min="6924" max="6924" width="0" style="249" hidden="1" customWidth="1"/>
    <col min="6925" max="7167" width="8.88671875" style="249"/>
    <col min="7168" max="7168" width="5.6640625" style="249" customWidth="1"/>
    <col min="7169" max="7169" width="34.33203125" style="249" customWidth="1"/>
    <col min="7170" max="7170" width="9.44140625" style="249" customWidth="1"/>
    <col min="7171" max="7178" width="10.44140625" style="249" customWidth="1"/>
    <col min="7179" max="7179" width="8.88671875" style="249"/>
    <col min="7180" max="7180" width="0" style="249" hidden="1" customWidth="1"/>
    <col min="7181" max="7423" width="8.88671875" style="249"/>
    <col min="7424" max="7424" width="5.6640625" style="249" customWidth="1"/>
    <col min="7425" max="7425" width="34.33203125" style="249" customWidth="1"/>
    <col min="7426" max="7426" width="9.44140625" style="249" customWidth="1"/>
    <col min="7427" max="7434" width="10.44140625" style="249" customWidth="1"/>
    <col min="7435" max="7435" width="8.88671875" style="249"/>
    <col min="7436" max="7436" width="0" style="249" hidden="1" customWidth="1"/>
    <col min="7437" max="7679" width="8.88671875" style="249"/>
    <col min="7680" max="7680" width="5.6640625" style="249" customWidth="1"/>
    <col min="7681" max="7681" width="34.33203125" style="249" customWidth="1"/>
    <col min="7682" max="7682" width="9.44140625" style="249" customWidth="1"/>
    <col min="7683" max="7690" width="10.44140625" style="249" customWidth="1"/>
    <col min="7691" max="7691" width="8.88671875" style="249"/>
    <col min="7692" max="7692" width="0" style="249" hidden="1" customWidth="1"/>
    <col min="7693" max="7935" width="8.88671875" style="249"/>
    <col min="7936" max="7936" width="5.6640625" style="249" customWidth="1"/>
    <col min="7937" max="7937" width="34.33203125" style="249" customWidth="1"/>
    <col min="7938" max="7938" width="9.44140625" style="249" customWidth="1"/>
    <col min="7939" max="7946" width="10.44140625" style="249" customWidth="1"/>
    <col min="7947" max="7947" width="8.88671875" style="249"/>
    <col min="7948" max="7948" width="0" style="249" hidden="1" customWidth="1"/>
    <col min="7949" max="8191" width="8.88671875" style="249"/>
    <col min="8192" max="8192" width="5.6640625" style="249" customWidth="1"/>
    <col min="8193" max="8193" width="34.33203125" style="249" customWidth="1"/>
    <col min="8194" max="8194" width="9.44140625" style="249" customWidth="1"/>
    <col min="8195" max="8202" width="10.44140625" style="249" customWidth="1"/>
    <col min="8203" max="8203" width="8.88671875" style="249"/>
    <col min="8204" max="8204" width="0" style="249" hidden="1" customWidth="1"/>
    <col min="8205" max="8447" width="8.88671875" style="249"/>
    <col min="8448" max="8448" width="5.6640625" style="249" customWidth="1"/>
    <col min="8449" max="8449" width="34.33203125" style="249" customWidth="1"/>
    <col min="8450" max="8450" width="9.44140625" style="249" customWidth="1"/>
    <col min="8451" max="8458" width="10.44140625" style="249" customWidth="1"/>
    <col min="8459" max="8459" width="8.88671875" style="249"/>
    <col min="8460" max="8460" width="0" style="249" hidden="1" customWidth="1"/>
    <col min="8461" max="8703" width="8.88671875" style="249"/>
    <col min="8704" max="8704" width="5.6640625" style="249" customWidth="1"/>
    <col min="8705" max="8705" width="34.33203125" style="249" customWidth="1"/>
    <col min="8706" max="8706" width="9.44140625" style="249" customWidth="1"/>
    <col min="8707" max="8714" width="10.44140625" style="249" customWidth="1"/>
    <col min="8715" max="8715" width="8.88671875" style="249"/>
    <col min="8716" max="8716" width="0" style="249" hidden="1" customWidth="1"/>
    <col min="8717" max="8959" width="8.88671875" style="249"/>
    <col min="8960" max="8960" width="5.6640625" style="249" customWidth="1"/>
    <col min="8961" max="8961" width="34.33203125" style="249" customWidth="1"/>
    <col min="8962" max="8962" width="9.44140625" style="249" customWidth="1"/>
    <col min="8963" max="8970" width="10.44140625" style="249" customWidth="1"/>
    <col min="8971" max="8971" width="8.88671875" style="249"/>
    <col min="8972" max="8972" width="0" style="249" hidden="1" customWidth="1"/>
    <col min="8973" max="9215" width="8.88671875" style="249"/>
    <col min="9216" max="9216" width="5.6640625" style="249" customWidth="1"/>
    <col min="9217" max="9217" width="34.33203125" style="249" customWidth="1"/>
    <col min="9218" max="9218" width="9.44140625" style="249" customWidth="1"/>
    <col min="9219" max="9226" width="10.44140625" style="249" customWidth="1"/>
    <col min="9227" max="9227" width="8.88671875" style="249"/>
    <col min="9228" max="9228" width="0" style="249" hidden="1" customWidth="1"/>
    <col min="9229" max="9471" width="8.88671875" style="249"/>
    <col min="9472" max="9472" width="5.6640625" style="249" customWidth="1"/>
    <col min="9473" max="9473" width="34.33203125" style="249" customWidth="1"/>
    <col min="9474" max="9474" width="9.44140625" style="249" customWidth="1"/>
    <col min="9475" max="9482" width="10.44140625" style="249" customWidth="1"/>
    <col min="9483" max="9483" width="8.88671875" style="249"/>
    <col min="9484" max="9484" width="0" style="249" hidden="1" customWidth="1"/>
    <col min="9485" max="9727" width="8.88671875" style="249"/>
    <col min="9728" max="9728" width="5.6640625" style="249" customWidth="1"/>
    <col min="9729" max="9729" width="34.33203125" style="249" customWidth="1"/>
    <col min="9730" max="9730" width="9.44140625" style="249" customWidth="1"/>
    <col min="9731" max="9738" width="10.44140625" style="249" customWidth="1"/>
    <col min="9739" max="9739" width="8.88671875" style="249"/>
    <col min="9740" max="9740" width="0" style="249" hidden="1" customWidth="1"/>
    <col min="9741" max="9983" width="8.88671875" style="249"/>
    <col min="9984" max="9984" width="5.6640625" style="249" customWidth="1"/>
    <col min="9985" max="9985" width="34.33203125" style="249" customWidth="1"/>
    <col min="9986" max="9986" width="9.44140625" style="249" customWidth="1"/>
    <col min="9987" max="9994" width="10.44140625" style="249" customWidth="1"/>
    <col min="9995" max="9995" width="8.88671875" style="249"/>
    <col min="9996" max="9996" width="0" style="249" hidden="1" customWidth="1"/>
    <col min="9997" max="10239" width="8.88671875" style="249"/>
    <col min="10240" max="10240" width="5.6640625" style="249" customWidth="1"/>
    <col min="10241" max="10241" width="34.33203125" style="249" customWidth="1"/>
    <col min="10242" max="10242" width="9.44140625" style="249" customWidth="1"/>
    <col min="10243" max="10250" width="10.44140625" style="249" customWidth="1"/>
    <col min="10251" max="10251" width="8.88671875" style="249"/>
    <col min="10252" max="10252" width="0" style="249" hidden="1" customWidth="1"/>
    <col min="10253" max="10495" width="8.88671875" style="249"/>
    <col min="10496" max="10496" width="5.6640625" style="249" customWidth="1"/>
    <col min="10497" max="10497" width="34.33203125" style="249" customWidth="1"/>
    <col min="10498" max="10498" width="9.44140625" style="249" customWidth="1"/>
    <col min="10499" max="10506" width="10.44140625" style="249" customWidth="1"/>
    <col min="10507" max="10507" width="8.88671875" style="249"/>
    <col min="10508" max="10508" width="0" style="249" hidden="1" customWidth="1"/>
    <col min="10509" max="10751" width="8.88671875" style="249"/>
    <col min="10752" max="10752" width="5.6640625" style="249" customWidth="1"/>
    <col min="10753" max="10753" width="34.33203125" style="249" customWidth="1"/>
    <col min="10754" max="10754" width="9.44140625" style="249" customWidth="1"/>
    <col min="10755" max="10762" width="10.44140625" style="249" customWidth="1"/>
    <col min="10763" max="10763" width="8.88671875" style="249"/>
    <col min="10764" max="10764" width="0" style="249" hidden="1" customWidth="1"/>
    <col min="10765" max="11007" width="8.88671875" style="249"/>
    <col min="11008" max="11008" width="5.6640625" style="249" customWidth="1"/>
    <col min="11009" max="11009" width="34.33203125" style="249" customWidth="1"/>
    <col min="11010" max="11010" width="9.44140625" style="249" customWidth="1"/>
    <col min="11011" max="11018" width="10.44140625" style="249" customWidth="1"/>
    <col min="11019" max="11019" width="8.88671875" style="249"/>
    <col min="11020" max="11020" width="0" style="249" hidden="1" customWidth="1"/>
    <col min="11021" max="11263" width="8.88671875" style="249"/>
    <col min="11264" max="11264" width="5.6640625" style="249" customWidth="1"/>
    <col min="11265" max="11265" width="34.33203125" style="249" customWidth="1"/>
    <col min="11266" max="11266" width="9.44140625" style="249" customWidth="1"/>
    <col min="11267" max="11274" width="10.44140625" style="249" customWidth="1"/>
    <col min="11275" max="11275" width="8.88671875" style="249"/>
    <col min="11276" max="11276" width="0" style="249" hidden="1" customWidth="1"/>
    <col min="11277" max="11519" width="8.88671875" style="249"/>
    <col min="11520" max="11520" width="5.6640625" style="249" customWidth="1"/>
    <col min="11521" max="11521" width="34.33203125" style="249" customWidth="1"/>
    <col min="11522" max="11522" width="9.44140625" style="249" customWidth="1"/>
    <col min="11523" max="11530" width="10.44140625" style="249" customWidth="1"/>
    <col min="11531" max="11531" width="8.88671875" style="249"/>
    <col min="11532" max="11532" width="0" style="249" hidden="1" customWidth="1"/>
    <col min="11533" max="11775" width="8.88671875" style="249"/>
    <col min="11776" max="11776" width="5.6640625" style="249" customWidth="1"/>
    <col min="11777" max="11777" width="34.33203125" style="249" customWidth="1"/>
    <col min="11778" max="11778" width="9.44140625" style="249" customWidth="1"/>
    <col min="11779" max="11786" width="10.44140625" style="249" customWidth="1"/>
    <col min="11787" max="11787" width="8.88671875" style="249"/>
    <col min="11788" max="11788" width="0" style="249" hidden="1" customWidth="1"/>
    <col min="11789" max="12031" width="8.88671875" style="249"/>
    <col min="12032" max="12032" width="5.6640625" style="249" customWidth="1"/>
    <col min="12033" max="12033" width="34.33203125" style="249" customWidth="1"/>
    <col min="12034" max="12034" width="9.44140625" style="249" customWidth="1"/>
    <col min="12035" max="12042" width="10.44140625" style="249" customWidth="1"/>
    <col min="12043" max="12043" width="8.88671875" style="249"/>
    <col min="12044" max="12044" width="0" style="249" hidden="1" customWidth="1"/>
    <col min="12045" max="12287" width="8.88671875" style="249"/>
    <col min="12288" max="12288" width="5.6640625" style="249" customWidth="1"/>
    <col min="12289" max="12289" width="34.33203125" style="249" customWidth="1"/>
    <col min="12290" max="12290" width="9.44140625" style="249" customWidth="1"/>
    <col min="12291" max="12298" width="10.44140625" style="249" customWidth="1"/>
    <col min="12299" max="12299" width="8.88671875" style="249"/>
    <col min="12300" max="12300" width="0" style="249" hidden="1" customWidth="1"/>
    <col min="12301" max="12543" width="8.88671875" style="249"/>
    <col min="12544" max="12544" width="5.6640625" style="249" customWidth="1"/>
    <col min="12545" max="12545" width="34.33203125" style="249" customWidth="1"/>
    <col min="12546" max="12546" width="9.44140625" style="249" customWidth="1"/>
    <col min="12547" max="12554" width="10.44140625" style="249" customWidth="1"/>
    <col min="12555" max="12555" width="8.88671875" style="249"/>
    <col min="12556" max="12556" width="0" style="249" hidden="1" customWidth="1"/>
    <col min="12557" max="12799" width="8.88671875" style="249"/>
    <col min="12800" max="12800" width="5.6640625" style="249" customWidth="1"/>
    <col min="12801" max="12801" width="34.33203125" style="249" customWidth="1"/>
    <col min="12802" max="12802" width="9.44140625" style="249" customWidth="1"/>
    <col min="12803" max="12810" width="10.44140625" style="249" customWidth="1"/>
    <col min="12811" max="12811" width="8.88671875" style="249"/>
    <col min="12812" max="12812" width="0" style="249" hidden="1" customWidth="1"/>
    <col min="12813" max="13055" width="8.88671875" style="249"/>
    <col min="13056" max="13056" width="5.6640625" style="249" customWidth="1"/>
    <col min="13057" max="13057" width="34.33203125" style="249" customWidth="1"/>
    <col min="13058" max="13058" width="9.44140625" style="249" customWidth="1"/>
    <col min="13059" max="13066" width="10.44140625" style="249" customWidth="1"/>
    <col min="13067" max="13067" width="8.88671875" style="249"/>
    <col min="13068" max="13068" width="0" style="249" hidden="1" customWidth="1"/>
    <col min="13069" max="13311" width="8.88671875" style="249"/>
    <col min="13312" max="13312" width="5.6640625" style="249" customWidth="1"/>
    <col min="13313" max="13313" width="34.33203125" style="249" customWidth="1"/>
    <col min="13314" max="13314" width="9.44140625" style="249" customWidth="1"/>
    <col min="13315" max="13322" width="10.44140625" style="249" customWidth="1"/>
    <col min="13323" max="13323" width="8.88671875" style="249"/>
    <col min="13324" max="13324" width="0" style="249" hidden="1" customWidth="1"/>
    <col min="13325" max="13567" width="8.88671875" style="249"/>
    <col min="13568" max="13568" width="5.6640625" style="249" customWidth="1"/>
    <col min="13569" max="13569" width="34.33203125" style="249" customWidth="1"/>
    <col min="13570" max="13570" width="9.44140625" style="249" customWidth="1"/>
    <col min="13571" max="13578" width="10.44140625" style="249" customWidth="1"/>
    <col min="13579" max="13579" width="8.88671875" style="249"/>
    <col min="13580" max="13580" width="0" style="249" hidden="1" customWidth="1"/>
    <col min="13581" max="13823" width="8.88671875" style="249"/>
    <col min="13824" max="13824" width="5.6640625" style="249" customWidth="1"/>
    <col min="13825" max="13825" width="34.33203125" style="249" customWidth="1"/>
    <col min="13826" max="13826" width="9.44140625" style="249" customWidth="1"/>
    <col min="13827" max="13834" width="10.44140625" style="249" customWidth="1"/>
    <col min="13835" max="13835" width="8.88671875" style="249"/>
    <col min="13836" max="13836" width="0" style="249" hidden="1" customWidth="1"/>
    <col min="13837" max="14079" width="8.88671875" style="249"/>
    <col min="14080" max="14080" width="5.6640625" style="249" customWidth="1"/>
    <col min="14081" max="14081" width="34.33203125" style="249" customWidth="1"/>
    <col min="14082" max="14082" width="9.44140625" style="249" customWidth="1"/>
    <col min="14083" max="14090" width="10.44140625" style="249" customWidth="1"/>
    <col min="14091" max="14091" width="8.88671875" style="249"/>
    <col min="14092" max="14092" width="0" style="249" hidden="1" customWidth="1"/>
    <col min="14093" max="14335" width="8.88671875" style="249"/>
    <col min="14336" max="14336" width="5.6640625" style="249" customWidth="1"/>
    <col min="14337" max="14337" width="34.33203125" style="249" customWidth="1"/>
    <col min="14338" max="14338" width="9.44140625" style="249" customWidth="1"/>
    <col min="14339" max="14346" width="10.44140625" style="249" customWidth="1"/>
    <col min="14347" max="14347" width="8.88671875" style="249"/>
    <col min="14348" max="14348" width="0" style="249" hidden="1" customWidth="1"/>
    <col min="14349" max="14591" width="8.88671875" style="249"/>
    <col min="14592" max="14592" width="5.6640625" style="249" customWidth="1"/>
    <col min="14593" max="14593" width="34.33203125" style="249" customWidth="1"/>
    <col min="14594" max="14594" width="9.44140625" style="249" customWidth="1"/>
    <col min="14595" max="14602" width="10.44140625" style="249" customWidth="1"/>
    <col min="14603" max="14603" width="8.88671875" style="249"/>
    <col min="14604" max="14604" width="0" style="249" hidden="1" customWidth="1"/>
    <col min="14605" max="14847" width="8.88671875" style="249"/>
    <col min="14848" max="14848" width="5.6640625" style="249" customWidth="1"/>
    <col min="14849" max="14849" width="34.33203125" style="249" customWidth="1"/>
    <col min="14850" max="14850" width="9.44140625" style="249" customWidth="1"/>
    <col min="14851" max="14858" width="10.44140625" style="249" customWidth="1"/>
    <col min="14859" max="14859" width="8.88671875" style="249"/>
    <col min="14860" max="14860" width="0" style="249" hidden="1" customWidth="1"/>
    <col min="14861" max="15103" width="8.88671875" style="249"/>
    <col min="15104" max="15104" width="5.6640625" style="249" customWidth="1"/>
    <col min="15105" max="15105" width="34.33203125" style="249" customWidth="1"/>
    <col min="15106" max="15106" width="9.44140625" style="249" customWidth="1"/>
    <col min="15107" max="15114" width="10.44140625" style="249" customWidth="1"/>
    <col min="15115" max="15115" width="8.88671875" style="249"/>
    <col min="15116" max="15116" width="0" style="249" hidden="1" customWidth="1"/>
    <col min="15117" max="15359" width="8.88671875" style="249"/>
    <col min="15360" max="15360" width="5.6640625" style="249" customWidth="1"/>
    <col min="15361" max="15361" width="34.33203125" style="249" customWidth="1"/>
    <col min="15362" max="15362" width="9.44140625" style="249" customWidth="1"/>
    <col min="15363" max="15370" width="10.44140625" style="249" customWidth="1"/>
    <col min="15371" max="15371" width="8.88671875" style="249"/>
    <col min="15372" max="15372" width="0" style="249" hidden="1" customWidth="1"/>
    <col min="15373" max="15615" width="8.88671875" style="249"/>
    <col min="15616" max="15616" width="5.6640625" style="249" customWidth="1"/>
    <col min="15617" max="15617" width="34.33203125" style="249" customWidth="1"/>
    <col min="15618" max="15618" width="9.44140625" style="249" customWidth="1"/>
    <col min="15619" max="15626" width="10.44140625" style="249" customWidth="1"/>
    <col min="15627" max="15627" width="8.88671875" style="249"/>
    <col min="15628" max="15628" width="0" style="249" hidden="1" customWidth="1"/>
    <col min="15629" max="15871" width="8.88671875" style="249"/>
    <col min="15872" max="15872" width="5.6640625" style="249" customWidth="1"/>
    <col min="15873" max="15873" width="34.33203125" style="249" customWidth="1"/>
    <col min="15874" max="15874" width="9.44140625" style="249" customWidth="1"/>
    <col min="15875" max="15882" width="10.44140625" style="249" customWidth="1"/>
    <col min="15883" max="15883" width="8.88671875" style="249"/>
    <col min="15884" max="15884" width="0" style="249" hidden="1" customWidth="1"/>
    <col min="15885" max="16127" width="8.88671875" style="249"/>
    <col min="16128" max="16128" width="5.6640625" style="249" customWidth="1"/>
    <col min="16129" max="16129" width="34.33203125" style="249" customWidth="1"/>
    <col min="16130" max="16130" width="9.44140625" style="249" customWidth="1"/>
    <col min="16131" max="16138" width="10.44140625" style="249" customWidth="1"/>
    <col min="16139" max="16139" width="8.88671875" style="249"/>
    <col min="16140" max="16140" width="0" style="249" hidden="1" customWidth="1"/>
    <col min="16141" max="16384" width="8.88671875" style="249"/>
  </cols>
  <sheetData>
    <row r="1" spans="1:11" ht="15.6" outlineLevel="1">
      <c r="A1" s="643" t="s">
        <v>500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</row>
    <row r="2" spans="1:11" ht="15.6" outlineLevel="1">
      <c r="A2" s="644" t="s">
        <v>589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</row>
    <row r="3" spans="1:11" ht="15.6" outlineLevel="1">
      <c r="A3" s="645" t="s">
        <v>594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</row>
    <row r="4" spans="1:11" ht="15.6" outlineLevel="1">
      <c r="A4" s="6"/>
      <c r="B4" s="250"/>
      <c r="C4" s="250"/>
      <c r="D4" s="250"/>
      <c r="E4" s="250"/>
      <c r="F4" s="250"/>
      <c r="G4" s="250"/>
      <c r="H4" s="250"/>
      <c r="I4" s="250"/>
      <c r="J4" s="250"/>
      <c r="K4" s="250"/>
    </row>
    <row r="5" spans="1:11" ht="15.6">
      <c r="A5" s="646" t="s">
        <v>32</v>
      </c>
      <c r="B5" s="646" t="s">
        <v>501</v>
      </c>
      <c r="C5" s="646" t="s">
        <v>41</v>
      </c>
      <c r="D5" s="646" t="s">
        <v>583</v>
      </c>
      <c r="E5" s="646" t="s">
        <v>579</v>
      </c>
      <c r="F5" s="646" t="s">
        <v>590</v>
      </c>
      <c r="G5" s="647" t="s">
        <v>587</v>
      </c>
      <c r="H5" s="650" t="s">
        <v>226</v>
      </c>
      <c r="I5" s="650"/>
      <c r="J5" s="650"/>
      <c r="K5" s="651" t="s">
        <v>593</v>
      </c>
    </row>
    <row r="6" spans="1:11" ht="13.2" customHeight="1">
      <c r="A6" s="646"/>
      <c r="B6" s="646"/>
      <c r="C6" s="646"/>
      <c r="D6" s="646"/>
      <c r="E6" s="646"/>
      <c r="F6" s="646"/>
      <c r="G6" s="648"/>
      <c r="H6" s="654" t="s">
        <v>591</v>
      </c>
      <c r="I6" s="654" t="s">
        <v>592</v>
      </c>
      <c r="J6" s="655" t="s">
        <v>547</v>
      </c>
      <c r="K6" s="652"/>
    </row>
    <row r="7" spans="1:11" ht="47.25" customHeight="1">
      <c r="A7" s="646"/>
      <c r="B7" s="646"/>
      <c r="C7" s="646"/>
      <c r="D7" s="646"/>
      <c r="E7" s="646"/>
      <c r="F7" s="646"/>
      <c r="G7" s="649"/>
      <c r="H7" s="654"/>
      <c r="I7" s="654"/>
      <c r="J7" s="655"/>
      <c r="K7" s="653"/>
    </row>
    <row r="8" spans="1:11" ht="15.6">
      <c r="A8" s="251" t="s">
        <v>23</v>
      </c>
      <c r="B8" s="252" t="s">
        <v>24</v>
      </c>
      <c r="C8" s="252" t="s">
        <v>76</v>
      </c>
      <c r="D8" s="253">
        <v>1</v>
      </c>
      <c r="E8" s="253">
        <v>2</v>
      </c>
      <c r="F8" s="253">
        <v>3</v>
      </c>
      <c r="G8" s="253">
        <v>4</v>
      </c>
      <c r="H8" s="253" t="s">
        <v>502</v>
      </c>
      <c r="I8" s="254" t="s">
        <v>503</v>
      </c>
      <c r="J8" s="254" t="s">
        <v>504</v>
      </c>
      <c r="K8" s="253">
        <v>8</v>
      </c>
    </row>
    <row r="9" spans="1:11" ht="19.2" customHeight="1">
      <c r="A9" s="64" t="s">
        <v>21</v>
      </c>
      <c r="B9" s="255" t="s">
        <v>109</v>
      </c>
      <c r="C9" s="234"/>
      <c r="D9" s="256"/>
      <c r="E9" s="256"/>
      <c r="F9" s="256"/>
      <c r="G9" s="256"/>
      <c r="H9" s="257"/>
      <c r="I9" s="257"/>
      <c r="J9" s="258"/>
      <c r="K9" s="65"/>
    </row>
    <row r="10" spans="1:11" ht="19.2" customHeight="1">
      <c r="A10" s="8">
        <v>1</v>
      </c>
      <c r="B10" s="123" t="s">
        <v>505</v>
      </c>
      <c r="C10" s="18" t="s">
        <v>16</v>
      </c>
      <c r="D10" s="259"/>
      <c r="E10" s="259"/>
      <c r="F10" s="259"/>
      <c r="G10" s="259"/>
      <c r="H10" s="48" t="str">
        <f>IFERROR(G10/D10%,"")</f>
        <v/>
      </c>
      <c r="I10" s="48" t="str">
        <f>IFERROR(F10/E10%,"")</f>
        <v/>
      </c>
      <c r="J10" s="48" t="str">
        <f>IFERROR(G10/E10%,"")</f>
        <v/>
      </c>
      <c r="K10" s="17"/>
    </row>
    <row r="11" spans="1:11" ht="19.2" customHeight="1">
      <c r="A11" s="1"/>
      <c r="B11" s="32" t="s">
        <v>43</v>
      </c>
      <c r="C11" s="18"/>
      <c r="D11" s="259"/>
      <c r="E11" s="30"/>
      <c r="F11" s="259"/>
      <c r="G11" s="259"/>
      <c r="H11" s="48" t="str">
        <f t="shared" ref="H11:H71" si="0">IFERROR(G11/D11%,"")</f>
        <v/>
      </c>
      <c r="I11" s="48" t="str">
        <f t="shared" ref="I11:I71" si="1">IFERROR(F11/E11%,"")</f>
        <v/>
      </c>
      <c r="J11" s="48" t="str">
        <f t="shared" ref="J11:J71" si="2">IFERROR(G11/E11%,"")</f>
        <v/>
      </c>
      <c r="K11" s="17"/>
    </row>
    <row r="12" spans="1:11" ht="19.2" customHeight="1">
      <c r="A12" s="16"/>
      <c r="B12" s="32" t="s">
        <v>506</v>
      </c>
      <c r="C12" s="18" t="s">
        <v>16</v>
      </c>
      <c r="D12" s="259"/>
      <c r="E12" s="259"/>
      <c r="F12" s="259"/>
      <c r="G12" s="259"/>
      <c r="H12" s="48" t="str">
        <f t="shared" si="0"/>
        <v/>
      </c>
      <c r="I12" s="48" t="str">
        <f t="shared" si="1"/>
        <v/>
      </c>
      <c r="J12" s="48" t="str">
        <f t="shared" si="2"/>
        <v/>
      </c>
      <c r="K12" s="17"/>
    </row>
    <row r="13" spans="1:11" ht="19.2" customHeight="1">
      <c r="A13" s="16"/>
      <c r="B13" s="32" t="s">
        <v>507</v>
      </c>
      <c r="C13" s="18" t="s">
        <v>16</v>
      </c>
      <c r="D13" s="259"/>
      <c r="E13" s="259"/>
      <c r="F13" s="259"/>
      <c r="G13" s="259"/>
      <c r="H13" s="48" t="str">
        <f t="shared" si="0"/>
        <v/>
      </c>
      <c r="I13" s="48" t="str">
        <f t="shared" si="1"/>
        <v/>
      </c>
      <c r="J13" s="48" t="str">
        <f t="shared" si="2"/>
        <v/>
      </c>
      <c r="K13" s="17"/>
    </row>
    <row r="14" spans="1:11" ht="19.2" customHeight="1">
      <c r="A14" s="16"/>
      <c r="B14" s="32" t="s">
        <v>508</v>
      </c>
      <c r="C14" s="18" t="s">
        <v>16</v>
      </c>
      <c r="D14" s="259"/>
      <c r="E14" s="259"/>
      <c r="F14" s="259"/>
      <c r="G14" s="259"/>
      <c r="H14" s="48" t="str">
        <f t="shared" si="0"/>
        <v/>
      </c>
      <c r="I14" s="48" t="str">
        <f t="shared" si="1"/>
        <v/>
      </c>
      <c r="J14" s="48" t="str">
        <f t="shared" si="2"/>
        <v/>
      </c>
      <c r="K14" s="17"/>
    </row>
    <row r="15" spans="1:11" ht="19.2" customHeight="1">
      <c r="A15" s="8">
        <v>2</v>
      </c>
      <c r="B15" s="123" t="s">
        <v>509</v>
      </c>
      <c r="C15" s="18"/>
      <c r="D15" s="259"/>
      <c r="E15" s="259"/>
      <c r="F15" s="259"/>
      <c r="G15" s="259"/>
      <c r="H15" s="48" t="str">
        <f t="shared" si="0"/>
        <v/>
      </c>
      <c r="I15" s="48" t="str">
        <f t="shared" si="1"/>
        <v/>
      </c>
      <c r="J15" s="48" t="str">
        <f t="shared" si="2"/>
        <v/>
      </c>
      <c r="K15" s="17"/>
    </row>
    <row r="16" spans="1:11" ht="19.2" customHeight="1">
      <c r="A16" s="1"/>
      <c r="B16" s="32" t="s">
        <v>506</v>
      </c>
      <c r="C16" s="18" t="s">
        <v>16</v>
      </c>
      <c r="D16" s="259"/>
      <c r="E16" s="259"/>
      <c r="F16" s="259"/>
      <c r="G16" s="259"/>
      <c r="H16" s="48" t="str">
        <f t="shared" si="0"/>
        <v/>
      </c>
      <c r="I16" s="48" t="str">
        <f t="shared" si="1"/>
        <v/>
      </c>
      <c r="J16" s="48" t="str">
        <f t="shared" si="2"/>
        <v/>
      </c>
      <c r="K16" s="17"/>
    </row>
    <row r="17" spans="1:20" ht="19.2" customHeight="1">
      <c r="A17" s="1"/>
      <c r="B17" s="32" t="s">
        <v>507</v>
      </c>
      <c r="C17" s="18" t="s">
        <v>16</v>
      </c>
      <c r="D17" s="259"/>
      <c r="E17" s="259"/>
      <c r="F17" s="259"/>
      <c r="G17" s="259"/>
      <c r="H17" s="48" t="str">
        <f t="shared" si="0"/>
        <v/>
      </c>
      <c r="I17" s="48" t="str">
        <f t="shared" si="1"/>
        <v/>
      </c>
      <c r="J17" s="48" t="str">
        <f t="shared" si="2"/>
        <v/>
      </c>
      <c r="K17" s="17"/>
    </row>
    <row r="18" spans="1:20" ht="19.2" customHeight="1">
      <c r="A18" s="1"/>
      <c r="B18" s="32" t="s">
        <v>508</v>
      </c>
      <c r="C18" s="18" t="s">
        <v>16</v>
      </c>
      <c r="D18" s="259"/>
      <c r="E18" s="259"/>
      <c r="F18" s="259"/>
      <c r="G18" s="259"/>
      <c r="H18" s="48" t="str">
        <f t="shared" si="0"/>
        <v/>
      </c>
      <c r="I18" s="48" t="str">
        <f t="shared" si="1"/>
        <v/>
      </c>
      <c r="J18" s="48" t="str">
        <f t="shared" si="2"/>
        <v/>
      </c>
      <c r="K18" s="17"/>
    </row>
    <row r="19" spans="1:20" ht="24.6" customHeight="1">
      <c r="A19" s="8">
        <v>3</v>
      </c>
      <c r="B19" s="123" t="s">
        <v>510</v>
      </c>
      <c r="C19" s="18" t="s">
        <v>511</v>
      </c>
      <c r="D19" s="19"/>
      <c r="E19" s="19"/>
      <c r="F19" s="19"/>
      <c r="G19" s="19"/>
      <c r="H19" s="48" t="str">
        <f t="shared" si="0"/>
        <v/>
      </c>
      <c r="I19" s="48" t="str">
        <f t="shared" si="1"/>
        <v/>
      </c>
      <c r="J19" s="48" t="str">
        <f t="shared" si="2"/>
        <v/>
      </c>
      <c r="K19" s="17"/>
    </row>
    <row r="20" spans="1:20" ht="27" customHeight="1">
      <c r="A20" s="8">
        <v>4</v>
      </c>
      <c r="B20" s="12" t="s">
        <v>512</v>
      </c>
      <c r="C20" s="18" t="s">
        <v>511</v>
      </c>
      <c r="D20" s="47">
        <f>'PL2'!C32</f>
        <v>300978.36</v>
      </c>
      <c r="E20" s="47">
        <f>'PL2'!D32</f>
        <v>294791</v>
      </c>
      <c r="F20" s="47">
        <f>'PL2'!E32</f>
        <v>164864.85999999999</v>
      </c>
      <c r="G20" s="47">
        <f>'PL2'!F32</f>
        <v>299509.5</v>
      </c>
      <c r="H20" s="53">
        <f t="shared" si="0"/>
        <v>99.511971558353906</v>
      </c>
      <c r="I20" s="53">
        <f t="shared" si="1"/>
        <v>55.926015380388137</v>
      </c>
      <c r="J20" s="53">
        <f t="shared" si="2"/>
        <v>101.60062552791639</v>
      </c>
      <c r="K20" s="47">
        <f>'PL2'!J32</f>
        <v>328951</v>
      </c>
      <c r="M20" s="270"/>
      <c r="N20" s="270"/>
      <c r="O20" s="270"/>
      <c r="P20" s="270"/>
      <c r="Q20" s="270"/>
      <c r="R20" s="270"/>
      <c r="S20" s="270"/>
      <c r="T20" s="270"/>
    </row>
    <row r="21" spans="1:20" ht="46.8">
      <c r="A21" s="16"/>
      <c r="B21" s="27" t="s">
        <v>513</v>
      </c>
      <c r="C21" s="18" t="s">
        <v>511</v>
      </c>
      <c r="D21" s="49"/>
      <c r="E21" s="49"/>
      <c r="F21" s="49"/>
      <c r="G21" s="49"/>
      <c r="H21" s="48" t="str">
        <f t="shared" si="0"/>
        <v/>
      </c>
      <c r="I21" s="48" t="str">
        <f t="shared" si="1"/>
        <v/>
      </c>
      <c r="J21" s="48" t="str">
        <f t="shared" si="2"/>
        <v/>
      </c>
      <c r="K21" s="49"/>
    </row>
    <row r="22" spans="1:20" ht="19.2" customHeight="1">
      <c r="A22" s="8">
        <v>5</v>
      </c>
      <c r="B22" s="12" t="s">
        <v>514</v>
      </c>
      <c r="C22" s="18" t="s">
        <v>511</v>
      </c>
      <c r="D22" s="47">
        <f>'PL3'!C45</f>
        <v>274712.47800000006</v>
      </c>
      <c r="E22" s="47">
        <f>'PL3'!D45</f>
        <v>314730</v>
      </c>
      <c r="F22" s="47">
        <f>'PL3'!E45</f>
        <v>201366</v>
      </c>
      <c r="G22" s="47">
        <f>'PL3'!F45</f>
        <v>309965</v>
      </c>
      <c r="H22" s="53">
        <f t="shared" si="0"/>
        <v>112.8325157476101</v>
      </c>
      <c r="I22" s="53">
        <f t="shared" si="1"/>
        <v>63.9805547612239</v>
      </c>
      <c r="J22" s="53">
        <f t="shared" si="2"/>
        <v>98.486003876338444</v>
      </c>
      <c r="K22" s="47">
        <f>'PL3'!J45</f>
        <v>328950.09999999998</v>
      </c>
    </row>
    <row r="23" spans="1:20" ht="19.2" customHeight="1">
      <c r="A23" s="16"/>
      <c r="B23" s="17" t="s">
        <v>107</v>
      </c>
      <c r="C23" s="18"/>
      <c r="D23" s="49"/>
      <c r="E23" s="49"/>
      <c r="F23" s="49"/>
      <c r="G23" s="49"/>
      <c r="H23" s="48" t="str">
        <f t="shared" si="0"/>
        <v/>
      </c>
      <c r="I23" s="48" t="str">
        <f t="shared" si="1"/>
        <v/>
      </c>
      <c r="J23" s="48" t="str">
        <f t="shared" si="2"/>
        <v/>
      </c>
      <c r="K23" s="49"/>
    </row>
    <row r="24" spans="1:20" ht="19.2" customHeight="1">
      <c r="A24" s="1"/>
      <c r="B24" s="271" t="s">
        <v>515</v>
      </c>
      <c r="C24" s="18" t="s">
        <v>511</v>
      </c>
      <c r="D24" s="49">
        <f>'PL3'!C46</f>
        <v>242772.76800000004</v>
      </c>
      <c r="E24" s="49">
        <f>'PL3'!D46</f>
        <v>252872</v>
      </c>
      <c r="F24" s="49">
        <f>'PL3'!E46</f>
        <v>166013</v>
      </c>
      <c r="G24" s="49">
        <f>'PL3'!F46</f>
        <v>248518</v>
      </c>
      <c r="H24" s="48">
        <f t="shared" si="0"/>
        <v>102.36650595012368</v>
      </c>
      <c r="I24" s="48">
        <f t="shared" si="1"/>
        <v>65.651001297098929</v>
      </c>
      <c r="J24" s="48">
        <f t="shared" si="2"/>
        <v>98.278180265114372</v>
      </c>
      <c r="K24" s="49">
        <f>'PL3'!J46</f>
        <v>266264</v>
      </c>
    </row>
    <row r="25" spans="1:20" ht="19.2" customHeight="1">
      <c r="A25" s="16"/>
      <c r="B25" s="32" t="s">
        <v>516</v>
      </c>
      <c r="C25" s="18" t="s">
        <v>511</v>
      </c>
      <c r="D25" s="49">
        <f>'PL3'!C47</f>
        <v>15619.301000000003</v>
      </c>
      <c r="E25" s="49">
        <f>'PL3'!D47</f>
        <v>13414</v>
      </c>
      <c r="F25" s="49">
        <f>'PL3'!E47</f>
        <v>7066</v>
      </c>
      <c r="G25" s="49">
        <f>'PL3'!F47</f>
        <v>15736</v>
      </c>
      <c r="H25" s="48">
        <f t="shared" si="0"/>
        <v>100.74714611108395</v>
      </c>
      <c r="I25" s="48">
        <f t="shared" si="1"/>
        <v>52.676308334575822</v>
      </c>
      <c r="J25" s="48">
        <f t="shared" si="2"/>
        <v>117.31027284926198</v>
      </c>
      <c r="K25" s="49">
        <f>'PL3'!J47</f>
        <v>12959</v>
      </c>
    </row>
    <row r="26" spans="1:20" ht="19.2" customHeight="1">
      <c r="A26" s="16"/>
      <c r="B26" s="32" t="s">
        <v>296</v>
      </c>
      <c r="C26" s="18" t="s">
        <v>511</v>
      </c>
      <c r="D26" s="49">
        <f>'PL3'!C48</f>
        <v>227153.46700000003</v>
      </c>
      <c r="E26" s="49">
        <f>'PL3'!D48</f>
        <v>233744</v>
      </c>
      <c r="F26" s="49">
        <f>'PL3'!E48</f>
        <v>158947</v>
      </c>
      <c r="G26" s="49">
        <f>'PL3'!F48</f>
        <v>231582</v>
      </c>
      <c r="H26" s="48">
        <f t="shared" si="0"/>
        <v>101.94957755146214</v>
      </c>
      <c r="I26" s="48">
        <f t="shared" si="1"/>
        <v>68.000462043945518</v>
      </c>
      <c r="J26" s="48">
        <f t="shared" si="2"/>
        <v>99.075056472037787</v>
      </c>
      <c r="K26" s="49">
        <f>'PL3'!J48</f>
        <v>247456</v>
      </c>
    </row>
    <row r="27" spans="1:20" ht="19.2" customHeight="1">
      <c r="A27" s="1"/>
      <c r="B27" s="32" t="s">
        <v>517</v>
      </c>
      <c r="C27" s="18" t="s">
        <v>511</v>
      </c>
      <c r="D27" s="49">
        <f>'PL3'!C49</f>
        <v>0</v>
      </c>
      <c r="E27" s="49">
        <f>'PL3'!D49</f>
        <v>0</v>
      </c>
      <c r="F27" s="49">
        <f>'PL3'!E49</f>
        <v>0</v>
      </c>
      <c r="G27" s="49">
        <f>'PL3'!F49</f>
        <v>0</v>
      </c>
      <c r="H27" s="48" t="str">
        <f t="shared" si="0"/>
        <v/>
      </c>
      <c r="I27" s="48" t="str">
        <f t="shared" si="1"/>
        <v/>
      </c>
      <c r="J27" s="48" t="str">
        <f t="shared" si="2"/>
        <v/>
      </c>
      <c r="K27" s="49">
        <f>'PL3'!J49</f>
        <v>0</v>
      </c>
    </row>
    <row r="28" spans="1:20" ht="19.2" customHeight="1">
      <c r="A28" s="1"/>
      <c r="B28" s="32" t="s">
        <v>518</v>
      </c>
      <c r="C28" s="18" t="s">
        <v>511</v>
      </c>
      <c r="D28" s="49"/>
      <c r="E28" s="49"/>
      <c r="F28" s="49"/>
      <c r="G28" s="49"/>
      <c r="H28" s="48" t="str">
        <f t="shared" si="0"/>
        <v/>
      </c>
      <c r="I28" s="48" t="str">
        <f t="shared" si="1"/>
        <v/>
      </c>
      <c r="J28" s="48" t="str">
        <f t="shared" si="2"/>
        <v/>
      </c>
      <c r="K28" s="49"/>
    </row>
    <row r="29" spans="1:20" ht="19.95" customHeight="1">
      <c r="A29" s="1"/>
      <c r="B29" s="271" t="s">
        <v>519</v>
      </c>
      <c r="C29" s="18" t="s">
        <v>511</v>
      </c>
      <c r="D29" s="49"/>
      <c r="E29" s="49"/>
      <c r="F29" s="49"/>
      <c r="G29" s="49"/>
      <c r="H29" s="48" t="str">
        <f t="shared" si="0"/>
        <v/>
      </c>
      <c r="I29" s="48" t="str">
        <f t="shared" si="1"/>
        <v/>
      </c>
      <c r="J29" s="48" t="str">
        <f t="shared" si="2"/>
        <v/>
      </c>
      <c r="K29" s="49"/>
    </row>
    <row r="30" spans="1:20" ht="15.6">
      <c r="A30" s="1"/>
      <c r="B30" s="32" t="s">
        <v>520</v>
      </c>
      <c r="C30" s="18" t="s">
        <v>511</v>
      </c>
      <c r="D30" s="49"/>
      <c r="E30" s="49"/>
      <c r="F30" s="49"/>
      <c r="G30" s="49"/>
      <c r="H30" s="48" t="str">
        <f t="shared" si="0"/>
        <v/>
      </c>
      <c r="I30" s="48" t="str">
        <f t="shared" si="1"/>
        <v/>
      </c>
      <c r="J30" s="48" t="str">
        <f t="shared" si="2"/>
        <v/>
      </c>
      <c r="K30" s="49"/>
    </row>
    <row r="31" spans="1:20" ht="15.6">
      <c r="A31" s="1"/>
      <c r="B31" s="32" t="s">
        <v>521</v>
      </c>
      <c r="C31" s="18" t="s">
        <v>511</v>
      </c>
      <c r="D31" s="49"/>
      <c r="E31" s="49"/>
      <c r="F31" s="49"/>
      <c r="G31" s="49"/>
      <c r="H31" s="48" t="str">
        <f t="shared" si="0"/>
        <v/>
      </c>
      <c r="I31" s="48" t="str">
        <f t="shared" si="1"/>
        <v/>
      </c>
      <c r="J31" s="48" t="str">
        <f t="shared" si="2"/>
        <v/>
      </c>
      <c r="K31" s="49"/>
    </row>
    <row r="32" spans="1:20" ht="15.6">
      <c r="A32" s="1"/>
      <c r="B32" s="272" t="s">
        <v>522</v>
      </c>
      <c r="C32" s="18" t="s">
        <v>511</v>
      </c>
      <c r="D32" s="30"/>
      <c r="E32" s="19"/>
      <c r="F32" s="30"/>
      <c r="G32" s="30"/>
      <c r="H32" s="48" t="str">
        <f t="shared" si="0"/>
        <v/>
      </c>
      <c r="I32" s="48" t="str">
        <f t="shared" si="1"/>
        <v/>
      </c>
      <c r="J32" s="48" t="str">
        <f t="shared" si="2"/>
        <v/>
      </c>
      <c r="K32" s="17"/>
    </row>
    <row r="33" spans="1:12" ht="31.2">
      <c r="A33" s="1"/>
      <c r="B33" s="272" t="s">
        <v>523</v>
      </c>
      <c r="C33" s="18" t="s">
        <v>511</v>
      </c>
      <c r="D33" s="30"/>
      <c r="E33" s="19"/>
      <c r="F33" s="30"/>
      <c r="G33" s="30"/>
      <c r="H33" s="48" t="str">
        <f t="shared" si="0"/>
        <v/>
      </c>
      <c r="I33" s="48" t="str">
        <f t="shared" si="1"/>
        <v/>
      </c>
      <c r="J33" s="48" t="str">
        <f t="shared" si="2"/>
        <v/>
      </c>
      <c r="K33" s="30"/>
    </row>
    <row r="34" spans="1:12" ht="21.6" customHeight="1">
      <c r="A34" s="8">
        <v>7</v>
      </c>
      <c r="B34" s="123" t="s">
        <v>69</v>
      </c>
      <c r="C34" s="18" t="s">
        <v>47</v>
      </c>
      <c r="D34" s="19" t="e">
        <f>#REF!</f>
        <v>#REF!</v>
      </c>
      <c r="E34" s="19" t="e">
        <f>#REF!</f>
        <v>#REF!</v>
      </c>
      <c r="F34" s="19" t="e">
        <f>#REF!</f>
        <v>#REF!</v>
      </c>
      <c r="G34" s="19" t="e">
        <f>#REF!</f>
        <v>#REF!</v>
      </c>
      <c r="H34" s="48" t="str">
        <f t="shared" si="0"/>
        <v/>
      </c>
      <c r="I34" s="48" t="str">
        <f t="shared" si="1"/>
        <v/>
      </c>
      <c r="J34" s="48" t="str">
        <f t="shared" si="2"/>
        <v/>
      </c>
      <c r="K34" s="19" t="e">
        <f>#REF!</f>
        <v>#REF!</v>
      </c>
    </row>
    <row r="35" spans="1:12" ht="24" customHeight="1">
      <c r="A35" s="1"/>
      <c r="B35" s="32" t="s">
        <v>524</v>
      </c>
      <c r="C35" s="18" t="s">
        <v>34</v>
      </c>
      <c r="D35" s="19" t="e">
        <f>#REF!</f>
        <v>#REF!</v>
      </c>
      <c r="E35" s="19" t="e">
        <f>#REF!</f>
        <v>#REF!</v>
      </c>
      <c r="F35" s="19" t="e">
        <f>#REF!</f>
        <v>#REF!</v>
      </c>
      <c r="G35" s="19" t="e">
        <f>#REF!</f>
        <v>#REF!</v>
      </c>
      <c r="H35" s="48" t="str">
        <f t="shared" si="0"/>
        <v/>
      </c>
      <c r="I35" s="48" t="str">
        <f t="shared" si="1"/>
        <v/>
      </c>
      <c r="J35" s="48" t="str">
        <f t="shared" si="2"/>
        <v/>
      </c>
      <c r="K35" s="19" t="e">
        <f>#REF!</f>
        <v>#REF!</v>
      </c>
    </row>
    <row r="36" spans="1:12" ht="36.6" customHeight="1">
      <c r="A36" s="8">
        <v>8</v>
      </c>
      <c r="B36" s="123" t="s">
        <v>525</v>
      </c>
      <c r="C36" s="18" t="s">
        <v>511</v>
      </c>
      <c r="D36" s="19" t="e">
        <f>#REF!</f>
        <v>#REF!</v>
      </c>
      <c r="E36" s="19" t="e">
        <f>#REF!</f>
        <v>#REF!</v>
      </c>
      <c r="F36" s="19" t="e">
        <f>#REF!</f>
        <v>#REF!</v>
      </c>
      <c r="G36" s="19" t="e">
        <f>#REF!</f>
        <v>#REF!</v>
      </c>
      <c r="H36" s="48" t="str">
        <f t="shared" si="0"/>
        <v/>
      </c>
      <c r="I36" s="48" t="str">
        <f t="shared" si="1"/>
        <v/>
      </c>
      <c r="J36" s="48" t="str">
        <f t="shared" si="2"/>
        <v/>
      </c>
      <c r="K36" s="19" t="e">
        <f>#REF!</f>
        <v>#REF!</v>
      </c>
    </row>
    <row r="37" spans="1:12" ht="18.600000000000001" customHeight="1">
      <c r="A37" s="8" t="s">
        <v>22</v>
      </c>
      <c r="B37" s="123" t="s">
        <v>526</v>
      </c>
      <c r="C37" s="18"/>
      <c r="D37" s="19"/>
      <c r="E37" s="19"/>
      <c r="F37" s="19"/>
      <c r="G37" s="19"/>
      <c r="H37" s="48" t="str">
        <f t="shared" si="0"/>
        <v/>
      </c>
      <c r="I37" s="48" t="str">
        <f t="shared" si="1"/>
        <v/>
      </c>
      <c r="J37" s="48" t="str">
        <f t="shared" si="2"/>
        <v/>
      </c>
      <c r="K37" s="19"/>
    </row>
    <row r="38" spans="1:12" ht="19.95" customHeight="1">
      <c r="A38" s="8">
        <v>1</v>
      </c>
      <c r="B38" s="123" t="s">
        <v>527</v>
      </c>
      <c r="C38" s="18"/>
      <c r="D38" s="23"/>
      <c r="E38" s="23"/>
      <c r="F38" s="23"/>
      <c r="G38" s="23"/>
      <c r="H38" s="48" t="str">
        <f t="shared" si="0"/>
        <v/>
      </c>
      <c r="I38" s="48" t="str">
        <f t="shared" si="1"/>
        <v/>
      </c>
      <c r="J38" s="48" t="str">
        <f t="shared" si="2"/>
        <v/>
      </c>
      <c r="K38" s="23"/>
    </row>
    <row r="39" spans="1:12" ht="20.399999999999999" customHeight="1">
      <c r="A39" s="1" t="s">
        <v>65</v>
      </c>
      <c r="B39" s="32" t="s">
        <v>528</v>
      </c>
      <c r="C39" s="18" t="s">
        <v>45</v>
      </c>
      <c r="D39" s="23" t="e">
        <f>#REF!</f>
        <v>#REF!</v>
      </c>
      <c r="E39" s="23" t="e">
        <f>#REF!</f>
        <v>#REF!</v>
      </c>
      <c r="F39" s="23" t="e">
        <f>#REF!</f>
        <v>#REF!</v>
      </c>
      <c r="G39" s="23" t="e">
        <f>#REF!</f>
        <v>#REF!</v>
      </c>
      <c r="H39" s="48" t="str">
        <f t="shared" si="0"/>
        <v/>
      </c>
      <c r="I39" s="48" t="str">
        <f t="shared" si="1"/>
        <v/>
      </c>
      <c r="J39" s="48" t="str">
        <f t="shared" si="2"/>
        <v/>
      </c>
      <c r="K39" s="23" t="e">
        <f>#REF!</f>
        <v>#REF!</v>
      </c>
    </row>
    <row r="40" spans="1:12" ht="20.399999999999999" customHeight="1">
      <c r="A40" s="1" t="s">
        <v>65</v>
      </c>
      <c r="B40" s="32" t="s">
        <v>160</v>
      </c>
      <c r="C40" s="18" t="s">
        <v>70</v>
      </c>
      <c r="D40" s="48" t="e">
        <f>#REF!</f>
        <v>#REF!</v>
      </c>
      <c r="E40" s="48" t="e">
        <f>#REF!</f>
        <v>#REF!</v>
      </c>
      <c r="F40" s="48" t="e">
        <f>#REF!</f>
        <v>#REF!</v>
      </c>
      <c r="G40" s="48" t="e">
        <f>#REF!</f>
        <v>#REF!</v>
      </c>
      <c r="H40" s="48" t="str">
        <f t="shared" si="0"/>
        <v/>
      </c>
      <c r="I40" s="48" t="str">
        <f t="shared" si="1"/>
        <v/>
      </c>
      <c r="J40" s="48" t="str">
        <f t="shared" si="2"/>
        <v/>
      </c>
      <c r="K40" s="48" t="e">
        <f>#REF!</f>
        <v>#REF!</v>
      </c>
    </row>
    <row r="41" spans="1:12" ht="20.399999999999999" customHeight="1">
      <c r="A41" s="1" t="s">
        <v>65</v>
      </c>
      <c r="B41" s="32" t="s">
        <v>529</v>
      </c>
      <c r="C41" s="18" t="s">
        <v>336</v>
      </c>
      <c r="D41" s="30"/>
      <c r="E41" s="30"/>
      <c r="F41" s="30"/>
      <c r="G41" s="30"/>
      <c r="H41" s="48" t="str">
        <f t="shared" si="0"/>
        <v/>
      </c>
      <c r="I41" s="48" t="str">
        <f t="shared" si="1"/>
        <v/>
      </c>
      <c r="J41" s="48" t="str">
        <f t="shared" si="2"/>
        <v/>
      </c>
      <c r="K41" s="30"/>
    </row>
    <row r="42" spans="1:12" ht="20.399999999999999" customHeight="1">
      <c r="A42" s="1" t="s">
        <v>65</v>
      </c>
      <c r="B42" s="32" t="s">
        <v>530</v>
      </c>
      <c r="C42" s="18" t="s">
        <v>16</v>
      </c>
      <c r="D42" s="30" t="e">
        <f>#REF!</f>
        <v>#REF!</v>
      </c>
      <c r="E42" s="30" t="e">
        <f>#REF!</f>
        <v>#REF!</v>
      </c>
      <c r="F42" s="30" t="e">
        <f>#REF!</f>
        <v>#REF!</v>
      </c>
      <c r="G42" s="30" t="e">
        <f>#REF!</f>
        <v>#REF!</v>
      </c>
      <c r="H42" s="48" t="str">
        <f t="shared" si="0"/>
        <v/>
      </c>
      <c r="I42" s="48" t="str">
        <f t="shared" si="1"/>
        <v/>
      </c>
      <c r="J42" s="48" t="str">
        <f t="shared" si="2"/>
        <v/>
      </c>
      <c r="K42" s="30" t="e">
        <f>#REF!</f>
        <v>#REF!</v>
      </c>
    </row>
    <row r="43" spans="1:12" ht="20.399999999999999" customHeight="1">
      <c r="A43" s="1" t="s">
        <v>65</v>
      </c>
      <c r="B43" s="32" t="s">
        <v>531</v>
      </c>
      <c r="C43" s="18" t="s">
        <v>16</v>
      </c>
      <c r="D43" s="30" t="e">
        <f>#REF!</f>
        <v>#REF!</v>
      </c>
      <c r="E43" s="30" t="e">
        <f>#REF!</f>
        <v>#REF!</v>
      </c>
      <c r="F43" s="30" t="e">
        <f>#REF!</f>
        <v>#REF!</v>
      </c>
      <c r="G43" s="30" t="e">
        <f>#REF!</f>
        <v>#REF!</v>
      </c>
      <c r="H43" s="48" t="str">
        <f t="shared" si="0"/>
        <v/>
      </c>
      <c r="I43" s="48" t="str">
        <f t="shared" si="1"/>
        <v/>
      </c>
      <c r="J43" s="48" t="str">
        <f t="shared" si="2"/>
        <v/>
      </c>
      <c r="K43" s="30" t="e">
        <f>#REF!</f>
        <v>#REF!</v>
      </c>
    </row>
    <row r="44" spans="1:12" ht="19.95" customHeight="1">
      <c r="A44" s="8">
        <v>2</v>
      </c>
      <c r="B44" s="123" t="s">
        <v>0</v>
      </c>
      <c r="C44" s="18"/>
      <c r="D44" s="48"/>
      <c r="E44" s="48"/>
      <c r="F44" s="48"/>
      <c r="G44" s="48"/>
      <c r="H44" s="48" t="str">
        <f t="shared" si="0"/>
        <v/>
      </c>
      <c r="I44" s="48" t="str">
        <f t="shared" si="1"/>
        <v/>
      </c>
      <c r="J44" s="48" t="str">
        <f t="shared" si="2"/>
        <v/>
      </c>
      <c r="K44" s="48"/>
    </row>
    <row r="45" spans="1:12" ht="19.95" customHeight="1">
      <c r="A45" s="1" t="s">
        <v>65</v>
      </c>
      <c r="B45" s="32" t="s">
        <v>158</v>
      </c>
      <c r="C45" s="32"/>
      <c r="D45" s="32"/>
      <c r="E45" s="32"/>
      <c r="F45" s="32"/>
      <c r="G45" s="32"/>
      <c r="H45" s="48" t="str">
        <f t="shared" si="0"/>
        <v/>
      </c>
      <c r="I45" s="48" t="str">
        <f t="shared" si="1"/>
        <v/>
      </c>
      <c r="J45" s="48" t="str">
        <f t="shared" si="2"/>
        <v/>
      </c>
      <c r="K45" s="32"/>
    </row>
    <row r="46" spans="1:12" ht="19.95" customHeight="1">
      <c r="A46" s="1"/>
      <c r="B46" s="32" t="s">
        <v>83</v>
      </c>
      <c r="C46" s="18" t="s">
        <v>16</v>
      </c>
      <c r="D46" s="32"/>
      <c r="E46" s="32"/>
      <c r="F46" s="32"/>
      <c r="G46" s="32"/>
      <c r="H46" s="48" t="str">
        <f t="shared" si="0"/>
        <v/>
      </c>
      <c r="I46" s="48" t="str">
        <f t="shared" si="1"/>
        <v/>
      </c>
      <c r="J46" s="48" t="str">
        <f t="shared" si="2"/>
        <v/>
      </c>
      <c r="K46" s="32"/>
    </row>
    <row r="47" spans="1:12" s="273" customFormat="1" ht="19.95" customHeight="1">
      <c r="A47" s="31"/>
      <c r="B47" s="170" t="s">
        <v>84</v>
      </c>
      <c r="C47" s="33" t="s">
        <v>16</v>
      </c>
      <c r="D47" s="48" t="e">
        <f>#REF!</f>
        <v>#REF!</v>
      </c>
      <c r="E47" s="48" t="e">
        <f>#REF!</f>
        <v>#REF!</v>
      </c>
      <c r="F47" s="48" t="e">
        <f>#REF!</f>
        <v>#REF!</v>
      </c>
      <c r="G47" s="48" t="e">
        <f>#REF!</f>
        <v>#REF!</v>
      </c>
      <c r="H47" s="48" t="str">
        <f t="shared" si="0"/>
        <v/>
      </c>
      <c r="I47" s="48" t="str">
        <f t="shared" si="1"/>
        <v/>
      </c>
      <c r="J47" s="48" t="str">
        <f t="shared" si="2"/>
        <v/>
      </c>
      <c r="K47" s="48" t="e">
        <f>#REF!</f>
        <v>#REF!</v>
      </c>
      <c r="L47" s="278"/>
    </row>
    <row r="48" spans="1:12" s="273" customFormat="1" ht="19.95" customHeight="1">
      <c r="A48" s="31"/>
      <c r="B48" s="170" t="s">
        <v>85</v>
      </c>
      <c r="C48" s="33" t="s">
        <v>16</v>
      </c>
      <c r="D48" s="48" t="e">
        <f>#REF!</f>
        <v>#REF!</v>
      </c>
      <c r="E48" s="48" t="e">
        <f>#REF!</f>
        <v>#REF!</v>
      </c>
      <c r="F48" s="48" t="e">
        <f>#REF!</f>
        <v>#REF!</v>
      </c>
      <c r="G48" s="48" t="e">
        <f>#REF!</f>
        <v>#REF!</v>
      </c>
      <c r="H48" s="48" t="str">
        <f t="shared" si="0"/>
        <v/>
      </c>
      <c r="I48" s="48" t="str">
        <f t="shared" si="1"/>
        <v/>
      </c>
      <c r="J48" s="48" t="str">
        <f t="shared" si="2"/>
        <v/>
      </c>
      <c r="K48" s="48" t="e">
        <f>#REF!</f>
        <v>#REF!</v>
      </c>
      <c r="L48" s="278"/>
    </row>
    <row r="49" spans="1:12" ht="19.95" customHeight="1">
      <c r="A49" s="1"/>
      <c r="B49" s="32" t="s">
        <v>104</v>
      </c>
      <c r="C49" s="18" t="s">
        <v>16</v>
      </c>
      <c r="D49" s="48" t="e">
        <f>#REF!</f>
        <v>#REF!</v>
      </c>
      <c r="E49" s="48" t="e">
        <f>#REF!</f>
        <v>#REF!</v>
      </c>
      <c r="F49" s="48" t="e">
        <f>#REF!</f>
        <v>#REF!</v>
      </c>
      <c r="G49" s="48" t="e">
        <f>#REF!</f>
        <v>#REF!</v>
      </c>
      <c r="H49" s="48" t="str">
        <f t="shared" si="0"/>
        <v/>
      </c>
      <c r="I49" s="48" t="str">
        <f t="shared" si="1"/>
        <v/>
      </c>
      <c r="J49" s="48" t="str">
        <f t="shared" si="2"/>
        <v/>
      </c>
      <c r="K49" s="48" t="e">
        <f>#REF!</f>
        <v>#REF!</v>
      </c>
      <c r="L49" s="278"/>
    </row>
    <row r="50" spans="1:12" ht="19.95" customHeight="1">
      <c r="A50" s="1"/>
      <c r="B50" s="32" t="s">
        <v>159</v>
      </c>
      <c r="C50" s="18" t="s">
        <v>16</v>
      </c>
      <c r="D50" s="48" t="e">
        <f>#REF!</f>
        <v>#REF!</v>
      </c>
      <c r="E50" s="48" t="e">
        <f>#REF!</f>
        <v>#REF!</v>
      </c>
      <c r="F50" s="48" t="e">
        <f>#REF!</f>
        <v>#REF!</v>
      </c>
      <c r="G50" s="48" t="e">
        <f>#REF!</f>
        <v>#REF!</v>
      </c>
      <c r="H50" s="48" t="str">
        <f t="shared" si="0"/>
        <v/>
      </c>
      <c r="I50" s="48" t="str">
        <f t="shared" si="1"/>
        <v/>
      </c>
      <c r="J50" s="48" t="str">
        <f t="shared" si="2"/>
        <v/>
      </c>
      <c r="K50" s="48" t="e">
        <f>#REF!</f>
        <v>#REF!</v>
      </c>
      <c r="L50" s="278"/>
    </row>
    <row r="51" spans="1:12" ht="19.95" customHeight="1">
      <c r="A51" s="1"/>
      <c r="B51" s="32" t="s">
        <v>534</v>
      </c>
      <c r="C51" s="18"/>
      <c r="D51" s="48"/>
      <c r="E51" s="48"/>
      <c r="F51" s="48"/>
      <c r="G51" s="48"/>
      <c r="H51" s="48"/>
      <c r="I51" s="48"/>
      <c r="J51" s="48"/>
      <c r="K51" s="48"/>
    </row>
    <row r="52" spans="1:12" ht="19.95" customHeight="1">
      <c r="A52" s="1" t="s">
        <v>65</v>
      </c>
      <c r="B52" s="32" t="s">
        <v>532</v>
      </c>
      <c r="C52" s="18" t="s">
        <v>16</v>
      </c>
      <c r="D52" s="48" t="e">
        <f>#REF!</f>
        <v>#REF!</v>
      </c>
      <c r="E52" s="48" t="e">
        <f>#REF!</f>
        <v>#REF!</v>
      </c>
      <c r="F52" s="48" t="e">
        <f>#REF!</f>
        <v>#REF!</v>
      </c>
      <c r="G52" s="48" t="e">
        <f>#REF!</f>
        <v>#REF!</v>
      </c>
      <c r="H52" s="48" t="str">
        <f t="shared" si="0"/>
        <v/>
      </c>
      <c r="I52" s="48" t="str">
        <f t="shared" si="1"/>
        <v/>
      </c>
      <c r="J52" s="48" t="str">
        <f t="shared" si="2"/>
        <v/>
      </c>
      <c r="K52" s="48" t="e">
        <f>#REF!</f>
        <v>#REF!</v>
      </c>
    </row>
    <row r="53" spans="1:12" ht="19.95" customHeight="1">
      <c r="A53" s="1" t="s">
        <v>308</v>
      </c>
      <c r="B53" s="32" t="s">
        <v>83</v>
      </c>
      <c r="C53" s="18" t="s">
        <v>27</v>
      </c>
      <c r="D53" s="48" t="e">
        <f>#REF!</f>
        <v>#REF!</v>
      </c>
      <c r="E53" s="48" t="e">
        <f>#REF!</f>
        <v>#REF!</v>
      </c>
      <c r="F53" s="48" t="e">
        <f>#REF!</f>
        <v>#REF!</v>
      </c>
      <c r="G53" s="48" t="e">
        <f>#REF!</f>
        <v>#REF!</v>
      </c>
      <c r="H53" s="48" t="str">
        <f t="shared" si="0"/>
        <v/>
      </c>
      <c r="I53" s="48" t="str">
        <f t="shared" si="1"/>
        <v/>
      </c>
      <c r="J53" s="48" t="str">
        <f t="shared" si="2"/>
        <v/>
      </c>
      <c r="K53" s="48" t="e">
        <f>#REF!</f>
        <v>#REF!</v>
      </c>
    </row>
    <row r="54" spans="1:12" ht="19.95" customHeight="1">
      <c r="A54" s="1" t="s">
        <v>308</v>
      </c>
      <c r="B54" s="32" t="s">
        <v>533</v>
      </c>
      <c r="C54" s="18" t="s">
        <v>27</v>
      </c>
      <c r="D54" s="48" t="e">
        <f>#REF!</f>
        <v>#REF!</v>
      </c>
      <c r="E54" s="48" t="e">
        <f>#REF!</f>
        <v>#REF!</v>
      </c>
      <c r="F54" s="48" t="e">
        <f>#REF!</f>
        <v>#REF!</v>
      </c>
      <c r="G54" s="48" t="e">
        <f>#REF!</f>
        <v>#REF!</v>
      </c>
      <c r="H54" s="48" t="str">
        <f t="shared" si="0"/>
        <v/>
      </c>
      <c r="I54" s="48" t="str">
        <f t="shared" si="1"/>
        <v/>
      </c>
      <c r="J54" s="48" t="str">
        <f t="shared" si="2"/>
        <v/>
      </c>
      <c r="K54" s="48" t="e">
        <f>#REF!</f>
        <v>#REF!</v>
      </c>
    </row>
    <row r="55" spans="1:12" ht="19.95" customHeight="1">
      <c r="A55" s="1" t="s">
        <v>308</v>
      </c>
      <c r="B55" s="32" t="s">
        <v>159</v>
      </c>
      <c r="C55" s="18" t="s">
        <v>27</v>
      </c>
      <c r="D55" s="48" t="e">
        <f>#REF!</f>
        <v>#REF!</v>
      </c>
      <c r="E55" s="48" t="e">
        <f>#REF!</f>
        <v>#REF!</v>
      </c>
      <c r="F55" s="48" t="e">
        <f>#REF!</f>
        <v>#REF!</v>
      </c>
      <c r="G55" s="48" t="e">
        <f>#REF!</f>
        <v>#REF!</v>
      </c>
      <c r="H55" s="48" t="str">
        <f t="shared" si="0"/>
        <v/>
      </c>
      <c r="I55" s="48" t="str">
        <f t="shared" si="1"/>
        <v/>
      </c>
      <c r="J55" s="48" t="str">
        <f t="shared" si="2"/>
        <v/>
      </c>
      <c r="K55" s="48" t="e">
        <f>#REF!</f>
        <v>#REF!</v>
      </c>
    </row>
    <row r="56" spans="1:12" ht="19.95" customHeight="1">
      <c r="A56" s="1" t="s">
        <v>308</v>
      </c>
      <c r="B56" s="32" t="s">
        <v>534</v>
      </c>
      <c r="C56" s="18" t="s">
        <v>27</v>
      </c>
      <c r="D56" s="48" t="e">
        <f>#REF!</f>
        <v>#REF!</v>
      </c>
      <c r="E56" s="48" t="e">
        <f>#REF!</f>
        <v>#REF!</v>
      </c>
      <c r="F56" s="48" t="e">
        <f>#REF!</f>
        <v>#REF!</v>
      </c>
      <c r="G56" s="48" t="e">
        <f>#REF!</f>
        <v>#REF!</v>
      </c>
      <c r="H56" s="48" t="str">
        <f t="shared" si="0"/>
        <v/>
      </c>
      <c r="I56" s="48" t="str">
        <f t="shared" si="1"/>
        <v/>
      </c>
      <c r="J56" s="48" t="str">
        <f t="shared" si="2"/>
        <v/>
      </c>
      <c r="K56" s="48" t="e">
        <f>#REF!</f>
        <v>#REF!</v>
      </c>
    </row>
    <row r="57" spans="1:12" ht="21.6" customHeight="1">
      <c r="A57" s="8">
        <v>3</v>
      </c>
      <c r="B57" s="123" t="s">
        <v>535</v>
      </c>
      <c r="C57" s="18"/>
      <c r="D57" s="48"/>
      <c r="E57" s="48"/>
      <c r="F57" s="48"/>
      <c r="G57" s="48"/>
      <c r="H57" s="48" t="str">
        <f t="shared" si="0"/>
        <v/>
      </c>
      <c r="I57" s="48" t="str">
        <f t="shared" si="1"/>
        <v/>
      </c>
      <c r="J57" s="48" t="str">
        <f t="shared" si="2"/>
        <v/>
      </c>
      <c r="K57" s="48"/>
    </row>
    <row r="58" spans="1:12" ht="24.6" customHeight="1">
      <c r="A58" s="1" t="s">
        <v>65</v>
      </c>
      <c r="B58" s="17" t="s">
        <v>161</v>
      </c>
      <c r="C58" s="1" t="s">
        <v>16</v>
      </c>
      <c r="D58" s="48" t="e">
        <f>#REF!</f>
        <v>#REF!</v>
      </c>
      <c r="E58" s="48" t="e">
        <f>#REF!</f>
        <v>#REF!</v>
      </c>
      <c r="F58" s="48" t="e">
        <f>#REF!</f>
        <v>#REF!</v>
      </c>
      <c r="G58" s="48" t="e">
        <f>#REF!</f>
        <v>#REF!</v>
      </c>
      <c r="H58" s="48" t="str">
        <f t="shared" si="0"/>
        <v/>
      </c>
      <c r="I58" s="48" t="str">
        <f t="shared" si="1"/>
        <v/>
      </c>
      <c r="J58" s="48" t="str">
        <f t="shared" si="2"/>
        <v/>
      </c>
      <c r="K58" s="48" t="e">
        <f>#REF!</f>
        <v>#REF!</v>
      </c>
    </row>
    <row r="59" spans="1:12" ht="22.2" customHeight="1">
      <c r="A59" s="31" t="s">
        <v>308</v>
      </c>
      <c r="B59" s="17" t="s">
        <v>162</v>
      </c>
      <c r="C59" s="1" t="s">
        <v>16</v>
      </c>
      <c r="D59" s="48" t="e">
        <f>#REF!</f>
        <v>#REF!</v>
      </c>
      <c r="E59" s="48" t="e">
        <f>#REF!</f>
        <v>#REF!</v>
      </c>
      <c r="F59" s="48" t="e">
        <f>#REF!</f>
        <v>#REF!</v>
      </c>
      <c r="G59" s="48" t="e">
        <f>#REF!</f>
        <v>#REF!</v>
      </c>
      <c r="H59" s="48" t="str">
        <f>IFERROR(G59/D59%,"")</f>
        <v/>
      </c>
      <c r="I59" s="48" t="str">
        <f>IFERROR(F59/E59%,"")</f>
        <v/>
      </c>
      <c r="J59" s="48" t="str">
        <f>IFERROR(G59/E59%,"")</f>
        <v/>
      </c>
      <c r="K59" s="48" t="e">
        <f>#REF!</f>
        <v>#REF!</v>
      </c>
    </row>
    <row r="60" spans="1:12" ht="24" customHeight="1">
      <c r="A60" s="1" t="s">
        <v>65</v>
      </c>
      <c r="B60" s="32" t="s">
        <v>536</v>
      </c>
      <c r="C60" s="18"/>
      <c r="D60" s="49" t="e">
        <f>#REF!</f>
        <v>#REF!</v>
      </c>
      <c r="E60" s="49" t="e">
        <f>#REF!</f>
        <v>#REF!</v>
      </c>
      <c r="F60" s="49" t="e">
        <f>#REF!</f>
        <v>#REF!</v>
      </c>
      <c r="G60" s="49" t="e">
        <f>#REF!</f>
        <v>#REF!</v>
      </c>
      <c r="H60" s="48" t="str">
        <f t="shared" si="0"/>
        <v/>
      </c>
      <c r="I60" s="48" t="str">
        <f t="shared" si="1"/>
        <v/>
      </c>
      <c r="J60" s="48" t="str">
        <f t="shared" si="2"/>
        <v/>
      </c>
      <c r="K60" s="49" t="e">
        <f>#REF!</f>
        <v>#REF!</v>
      </c>
    </row>
    <row r="61" spans="1:12" ht="24.6" customHeight="1">
      <c r="A61" s="1" t="s">
        <v>65</v>
      </c>
      <c r="B61" s="32" t="s">
        <v>163</v>
      </c>
      <c r="C61" s="18" t="s">
        <v>16</v>
      </c>
      <c r="D61" s="66" t="e">
        <f>#REF!</f>
        <v>#REF!</v>
      </c>
      <c r="E61" s="66" t="e">
        <f>#REF!</f>
        <v>#REF!</v>
      </c>
      <c r="F61" s="66" t="e">
        <f>#REF!</f>
        <v>#REF!</v>
      </c>
      <c r="G61" s="66" t="e">
        <f>#REF!</f>
        <v>#REF!</v>
      </c>
      <c r="H61" s="48" t="str">
        <f t="shared" si="0"/>
        <v/>
      </c>
      <c r="I61" s="48" t="str">
        <f t="shared" si="1"/>
        <v/>
      </c>
      <c r="J61" s="48" t="str">
        <f t="shared" si="2"/>
        <v/>
      </c>
      <c r="K61" s="66" t="e">
        <f>#REF!</f>
        <v>#REF!</v>
      </c>
    </row>
    <row r="62" spans="1:12" ht="24.75" customHeight="1">
      <c r="A62" s="1" t="s">
        <v>65</v>
      </c>
      <c r="B62" s="32" t="s">
        <v>537</v>
      </c>
      <c r="C62" s="18" t="s">
        <v>37</v>
      </c>
      <c r="D62" s="48" t="e">
        <f>#REF!</f>
        <v>#REF!</v>
      </c>
      <c r="E62" s="48" t="e">
        <f>#REF!</f>
        <v>#REF!</v>
      </c>
      <c r="F62" s="48" t="e">
        <f>#REF!</f>
        <v>#REF!</v>
      </c>
      <c r="G62" s="48" t="e">
        <f>#REF!</f>
        <v>#REF!</v>
      </c>
      <c r="H62" s="48" t="str">
        <f t="shared" si="0"/>
        <v/>
      </c>
      <c r="I62" s="48" t="str">
        <f t="shared" si="1"/>
        <v/>
      </c>
      <c r="J62" s="48" t="str">
        <f t="shared" si="2"/>
        <v/>
      </c>
      <c r="K62" s="48">
        <v>4</v>
      </c>
    </row>
    <row r="63" spans="1:12" ht="21.6" customHeight="1">
      <c r="A63" s="8">
        <v>4</v>
      </c>
      <c r="B63" s="123" t="s">
        <v>538</v>
      </c>
      <c r="C63" s="18"/>
      <c r="D63" s="48"/>
      <c r="E63" s="48"/>
      <c r="F63" s="48"/>
      <c r="G63" s="48"/>
      <c r="H63" s="48" t="str">
        <f t="shared" si="0"/>
        <v/>
      </c>
      <c r="I63" s="48" t="str">
        <f t="shared" si="1"/>
        <v/>
      </c>
      <c r="J63" s="48" t="str">
        <f t="shared" si="2"/>
        <v/>
      </c>
      <c r="K63" s="48"/>
    </row>
    <row r="64" spans="1:12" ht="23.4" customHeight="1">
      <c r="A64" s="1" t="s">
        <v>65</v>
      </c>
      <c r="B64" s="32" t="s">
        <v>539</v>
      </c>
      <c r="C64" s="18" t="s">
        <v>16</v>
      </c>
      <c r="D64" s="48" t="e">
        <f>#REF!/9%</f>
        <v>#REF!</v>
      </c>
      <c r="E64" s="48" t="e">
        <f>#REF!/9%</f>
        <v>#REF!</v>
      </c>
      <c r="F64" s="48" t="e">
        <f>#REF!/9%</f>
        <v>#REF!</v>
      </c>
      <c r="G64" s="48" t="e">
        <f>#REF!/9%</f>
        <v>#REF!</v>
      </c>
      <c r="H64" s="48" t="str">
        <f t="shared" si="0"/>
        <v/>
      </c>
      <c r="I64" s="48" t="str">
        <f t="shared" si="1"/>
        <v/>
      </c>
      <c r="J64" s="48" t="str">
        <f t="shared" si="2"/>
        <v/>
      </c>
      <c r="K64" s="48" t="e">
        <f>#REF!/9%</f>
        <v>#REF!</v>
      </c>
    </row>
    <row r="65" spans="1:11" ht="31.2">
      <c r="A65" s="1" t="s">
        <v>65</v>
      </c>
      <c r="B65" s="32" t="s">
        <v>540</v>
      </c>
      <c r="C65" s="18" t="s">
        <v>16</v>
      </c>
      <c r="D65" s="49" t="e">
        <f>#REF!</f>
        <v>#REF!</v>
      </c>
      <c r="E65" s="49" t="e">
        <f>#REF!</f>
        <v>#REF!</v>
      </c>
      <c r="F65" s="49" t="e">
        <f>#REF!</f>
        <v>#REF!</v>
      </c>
      <c r="G65" s="49" t="e">
        <f>#REF!</f>
        <v>#REF!</v>
      </c>
      <c r="H65" s="48" t="str">
        <f t="shared" si="0"/>
        <v/>
      </c>
      <c r="I65" s="48" t="str">
        <f t="shared" si="1"/>
        <v/>
      </c>
      <c r="J65" s="48" t="str">
        <f t="shared" si="2"/>
        <v/>
      </c>
      <c r="K65" s="49" t="e">
        <f>#REF!</f>
        <v>#REF!</v>
      </c>
    </row>
    <row r="66" spans="1:11" ht="22.5" customHeight="1">
      <c r="A66" s="1" t="s">
        <v>65</v>
      </c>
      <c r="B66" s="32" t="s">
        <v>541</v>
      </c>
      <c r="C66" s="18" t="s">
        <v>16</v>
      </c>
      <c r="D66" s="49" t="e">
        <f>#REF!</f>
        <v>#REF!</v>
      </c>
      <c r="E66" s="49" t="e">
        <f>#REF!</f>
        <v>#REF!</v>
      </c>
      <c r="F66" s="49" t="e">
        <f>#REF!</f>
        <v>#REF!</v>
      </c>
      <c r="G66" s="49" t="e">
        <f>#REF!</f>
        <v>#REF!</v>
      </c>
      <c r="H66" s="48" t="str">
        <f t="shared" si="0"/>
        <v/>
      </c>
      <c r="I66" s="48" t="str">
        <f t="shared" si="1"/>
        <v/>
      </c>
      <c r="J66" s="48" t="str">
        <f t="shared" si="2"/>
        <v/>
      </c>
      <c r="K66" s="49" t="e">
        <f>#REF!</f>
        <v>#REF!</v>
      </c>
    </row>
    <row r="67" spans="1:11" ht="21" customHeight="1">
      <c r="A67" s="8" t="s">
        <v>25</v>
      </c>
      <c r="B67" s="123" t="s">
        <v>542</v>
      </c>
      <c r="C67" s="18"/>
      <c r="D67" s="49"/>
      <c r="E67" s="49"/>
      <c r="F67" s="49"/>
      <c r="G67" s="49"/>
      <c r="H67" s="48" t="str">
        <f t="shared" si="0"/>
        <v/>
      </c>
      <c r="I67" s="48" t="str">
        <f t="shared" si="1"/>
        <v/>
      </c>
      <c r="J67" s="48" t="str">
        <f t="shared" si="2"/>
        <v/>
      </c>
      <c r="K67" s="49"/>
    </row>
    <row r="68" spans="1:11" ht="33" customHeight="1">
      <c r="A68" s="1">
        <v>1</v>
      </c>
      <c r="B68" s="32" t="s">
        <v>476</v>
      </c>
      <c r="C68" s="18" t="s">
        <v>16</v>
      </c>
      <c r="D68" s="48">
        <f>'KH2019. 2. CN NN DV'!D33</f>
        <v>89.1</v>
      </c>
      <c r="E68" s="48">
        <f>'KH2019. 2. CN NN DV'!E33</f>
        <v>91.1</v>
      </c>
      <c r="F68" s="48">
        <f>'KH2019. 2. CN NN DV'!F33</f>
        <v>91.1</v>
      </c>
      <c r="G68" s="48">
        <f>'KH2019. 2. CN NN DV'!G33</f>
        <v>91.1</v>
      </c>
      <c r="H68" s="48">
        <f>IFERROR(G68/D68%,"")</f>
        <v>102.24466891133558</v>
      </c>
      <c r="I68" s="48">
        <f>IFERROR(F68/E68%,"")</f>
        <v>100</v>
      </c>
      <c r="J68" s="48">
        <f>IFERROR(G68/E68%,"")</f>
        <v>100</v>
      </c>
      <c r="K68" s="48">
        <f>'KH2019. 2. CN NN DV'!K33</f>
        <v>0</v>
      </c>
    </row>
    <row r="69" spans="1:11" ht="25.2" customHeight="1">
      <c r="A69" s="1">
        <v>2</v>
      </c>
      <c r="B69" s="32" t="s">
        <v>543</v>
      </c>
      <c r="C69" s="18" t="s">
        <v>16</v>
      </c>
      <c r="D69" s="48" t="e">
        <f>#REF!</f>
        <v>#REF!</v>
      </c>
      <c r="E69" s="48" t="e">
        <f>#REF!</f>
        <v>#REF!</v>
      </c>
      <c r="F69" s="48" t="e">
        <f>#REF!</f>
        <v>#REF!</v>
      </c>
      <c r="G69" s="48" t="e">
        <f>#REF!</f>
        <v>#REF!</v>
      </c>
      <c r="H69" s="48" t="str">
        <f t="shared" si="0"/>
        <v/>
      </c>
      <c r="I69" s="48" t="str">
        <f t="shared" si="1"/>
        <v/>
      </c>
      <c r="J69" s="48" t="str">
        <f t="shared" si="2"/>
        <v/>
      </c>
      <c r="K69" s="48" t="e">
        <f>#REF!</f>
        <v>#REF!</v>
      </c>
    </row>
    <row r="70" spans="1:11" ht="31.2">
      <c r="A70" s="1">
        <v>3</v>
      </c>
      <c r="B70" s="32" t="s">
        <v>544</v>
      </c>
      <c r="C70" s="18" t="s">
        <v>16</v>
      </c>
      <c r="D70" s="48"/>
      <c r="E70" s="48"/>
      <c r="F70" s="48"/>
      <c r="G70" s="48"/>
      <c r="H70" s="48" t="str">
        <f t="shared" si="0"/>
        <v/>
      </c>
      <c r="I70" s="48" t="str">
        <f t="shared" si="1"/>
        <v/>
      </c>
      <c r="J70" s="48" t="str">
        <f t="shared" si="2"/>
        <v/>
      </c>
      <c r="K70" s="17"/>
    </row>
    <row r="71" spans="1:11" ht="9" customHeight="1">
      <c r="A71" s="260"/>
      <c r="B71" s="260"/>
      <c r="C71" s="260"/>
      <c r="D71" s="260"/>
      <c r="E71" s="260"/>
      <c r="F71" s="260"/>
      <c r="G71" s="260"/>
      <c r="H71" s="274" t="str">
        <f t="shared" si="0"/>
        <v/>
      </c>
      <c r="I71" s="274" t="str">
        <f t="shared" si="1"/>
        <v/>
      </c>
      <c r="J71" s="274" t="str">
        <f t="shared" si="2"/>
        <v/>
      </c>
      <c r="K71" s="260"/>
    </row>
  </sheetData>
  <mergeCells count="15">
    <mergeCell ref="A1:K1"/>
    <mergeCell ref="A2:K2"/>
    <mergeCell ref="A3:K3"/>
    <mergeCell ref="A5:A7"/>
    <mergeCell ref="B5:B7"/>
    <mergeCell ref="C5:C7"/>
    <mergeCell ref="D5:D7"/>
    <mergeCell ref="E5:E7"/>
    <mergeCell ref="F5:F7"/>
    <mergeCell ref="G5:G7"/>
    <mergeCell ref="H5:J5"/>
    <mergeCell ref="K5:K7"/>
    <mergeCell ref="H6:H7"/>
    <mergeCell ref="I6:I7"/>
    <mergeCell ref="J6:J7"/>
  </mergeCells>
  <pageMargins left="0.47244094488188981" right="0.31496062992125984" top="0.78740157480314965" bottom="0.59055118110236227" header="0.19685039370078741" footer="0.19685039370078741"/>
  <pageSetup paperSize="9" scale="72" fitToHeight="0" orientation="portrait" r:id="rId1"/>
  <headerFooter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  <pageSetUpPr fitToPage="1"/>
  </sheetPr>
  <dimension ref="A1:K200"/>
  <sheetViews>
    <sheetView zoomScale="85" zoomScaleNormal="85" zoomScaleSheetLayoutView="85" workbookViewId="0">
      <pane xSplit="2" ySplit="8" topLeftCell="C9" activePane="bottomRight" state="frozen"/>
      <selection activeCell="I9" sqref="I9"/>
      <selection pane="topRight" activeCell="I9" sqref="I9"/>
      <selection pane="bottomLeft" activeCell="I9" sqref="I9"/>
      <selection pane="bottomRight" activeCell="G10" sqref="G10"/>
    </sheetView>
  </sheetViews>
  <sheetFormatPr defaultColWidth="9.109375" defaultRowHeight="15.6" outlineLevelRow="1" outlineLevelCol="1"/>
  <cols>
    <col min="1" max="1" width="5.5546875" style="6" customWidth="1"/>
    <col min="2" max="2" width="39.109375" style="2" customWidth="1"/>
    <col min="3" max="3" width="13" style="6" customWidth="1"/>
    <col min="4" max="5" width="12.109375" style="2" hidden="1" customWidth="1" outlineLevel="1"/>
    <col min="6" max="6" width="13.109375" style="2" customWidth="1" collapsed="1"/>
    <col min="7" max="9" width="13.109375" style="2" customWidth="1"/>
    <col min="10" max="10" width="10" style="2" bestFit="1" customWidth="1"/>
    <col min="11" max="16384" width="9.109375" style="2"/>
  </cols>
  <sheetData>
    <row r="1" spans="1:10" ht="17.399999999999999" outlineLevel="1">
      <c r="A1" s="676" t="s">
        <v>67</v>
      </c>
      <c r="B1" s="676"/>
      <c r="C1" s="676"/>
      <c r="D1" s="676"/>
      <c r="E1" s="676"/>
      <c r="F1" s="676"/>
      <c r="G1" s="676"/>
      <c r="H1" s="676"/>
      <c r="I1" s="676"/>
    </row>
    <row r="2" spans="1:10" ht="17.399999999999999" outlineLevel="1">
      <c r="A2" s="676" t="s">
        <v>577</v>
      </c>
      <c r="B2" s="676"/>
      <c r="C2" s="676"/>
      <c r="D2" s="676"/>
      <c r="E2" s="676"/>
      <c r="F2" s="676"/>
      <c r="G2" s="676"/>
      <c r="H2" s="676"/>
      <c r="I2" s="676"/>
    </row>
    <row r="3" spans="1:10" ht="18" outlineLevel="1">
      <c r="A3" s="677" t="s">
        <v>475</v>
      </c>
      <c r="B3" s="677"/>
      <c r="C3" s="677"/>
      <c r="D3" s="677"/>
      <c r="E3" s="677"/>
      <c r="F3" s="677"/>
      <c r="G3" s="677"/>
      <c r="H3" s="677"/>
      <c r="I3" s="677"/>
    </row>
    <row r="4" spans="1:10" outlineLevel="1"/>
    <row r="5" spans="1:10" s="15" customFormat="1" ht="16.5" customHeight="1">
      <c r="A5" s="650" t="s">
        <v>32</v>
      </c>
      <c r="B5" s="650" t="s">
        <v>42</v>
      </c>
      <c r="C5" s="650" t="s">
        <v>4</v>
      </c>
      <c r="D5" s="650" t="s">
        <v>154</v>
      </c>
      <c r="E5" s="650" t="s">
        <v>182</v>
      </c>
      <c r="F5" s="651" t="s">
        <v>155</v>
      </c>
      <c r="G5" s="651" t="s">
        <v>578</v>
      </c>
      <c r="H5" s="651" t="s">
        <v>189</v>
      </c>
      <c r="I5" s="651" t="s">
        <v>46</v>
      </c>
    </row>
    <row r="6" spans="1:10" s="15" customFormat="1" ht="28.5" customHeight="1">
      <c r="A6" s="650"/>
      <c r="B6" s="650"/>
      <c r="C6" s="650"/>
      <c r="D6" s="650"/>
      <c r="E6" s="650"/>
      <c r="F6" s="653"/>
      <c r="G6" s="653"/>
      <c r="H6" s="653"/>
      <c r="I6" s="653"/>
    </row>
    <row r="7" spans="1:10">
      <c r="A7" s="7">
        <v>1</v>
      </c>
      <c r="B7" s="7">
        <v>2</v>
      </c>
      <c r="C7" s="7">
        <v>3</v>
      </c>
      <c r="D7" s="7"/>
      <c r="E7" s="7"/>
      <c r="F7" s="7">
        <v>4</v>
      </c>
      <c r="G7" s="7">
        <v>5</v>
      </c>
      <c r="H7" s="7" t="s">
        <v>216</v>
      </c>
      <c r="I7" s="7">
        <v>7</v>
      </c>
    </row>
    <row r="8" spans="1:10" ht="20.25" customHeight="1">
      <c r="A8" s="205"/>
      <c r="B8" s="234" t="s">
        <v>68</v>
      </c>
      <c r="C8" s="205"/>
      <c r="D8" s="205"/>
      <c r="E8" s="205"/>
      <c r="F8" s="205"/>
      <c r="G8" s="205"/>
      <c r="H8" s="205"/>
      <c r="I8" s="110"/>
    </row>
    <row r="9" spans="1:10" ht="19.5" customHeight="1" collapsed="1">
      <c r="A9" s="8" t="s">
        <v>23</v>
      </c>
      <c r="B9" s="123" t="s">
        <v>127</v>
      </c>
      <c r="C9" s="9"/>
      <c r="D9" s="124"/>
      <c r="E9" s="124"/>
      <c r="F9" s="124"/>
      <c r="G9" s="124"/>
      <c r="H9" s="124"/>
      <c r="I9" s="53"/>
      <c r="J9" s="11"/>
    </row>
    <row r="10" spans="1:10" s="15" customFormat="1" ht="19.5" customHeight="1">
      <c r="A10" s="8" t="s">
        <v>21</v>
      </c>
      <c r="B10" s="12" t="s">
        <v>72</v>
      </c>
      <c r="C10" s="9" t="s">
        <v>57</v>
      </c>
      <c r="D10" s="13">
        <v>347871</v>
      </c>
      <c r="E10" s="13">
        <v>313038</v>
      </c>
      <c r="F10" s="13">
        <v>277205</v>
      </c>
      <c r="G10" s="13">
        <v>229378</v>
      </c>
      <c r="H10" s="53">
        <f t="shared" ref="H10:H70" si="0">IFERROR(G10/F10%,"")</f>
        <v>82.746703703035649</v>
      </c>
      <c r="I10" s="69"/>
      <c r="J10" s="14"/>
    </row>
    <row r="11" spans="1:10" ht="19.5" customHeight="1">
      <c r="A11" s="16" t="s">
        <v>65</v>
      </c>
      <c r="B11" s="17" t="s">
        <v>73</v>
      </c>
      <c r="C11" s="18" t="s">
        <v>57</v>
      </c>
      <c r="D11" s="19">
        <v>90496</v>
      </c>
      <c r="E11" s="19">
        <v>104622</v>
      </c>
      <c r="F11" s="19">
        <v>82860</v>
      </c>
      <c r="G11" s="19">
        <v>88890</v>
      </c>
      <c r="H11" s="48">
        <f>IFERROR(G11/F11%,"")</f>
        <v>107.27733526430123</v>
      </c>
      <c r="I11" s="3"/>
      <c r="J11" s="11"/>
    </row>
    <row r="12" spans="1:10" s="34" customFormat="1" ht="19.5" customHeight="1">
      <c r="A12" s="58"/>
      <c r="B12" s="27" t="s">
        <v>206</v>
      </c>
      <c r="C12" s="33" t="s">
        <v>57</v>
      </c>
      <c r="D12" s="59">
        <v>84999</v>
      </c>
      <c r="E12" s="59">
        <v>71796</v>
      </c>
      <c r="F12" s="59">
        <v>70788</v>
      </c>
      <c r="G12" s="59">
        <v>71052</v>
      </c>
      <c r="H12" s="71">
        <f>IFERROR(G12/F12%,"")</f>
        <v>100.37294456687574</v>
      </c>
      <c r="I12" s="70"/>
      <c r="J12" s="11"/>
    </row>
    <row r="13" spans="1:10" s="15" customFormat="1" ht="18.75" customHeight="1">
      <c r="A13" s="8" t="s">
        <v>22</v>
      </c>
      <c r="B13" s="12" t="s">
        <v>74</v>
      </c>
      <c r="C13" s="9" t="s">
        <v>57</v>
      </c>
      <c r="D13" s="13">
        <v>308217</v>
      </c>
      <c r="E13" s="13">
        <v>300633</v>
      </c>
      <c r="F13" s="13">
        <v>265133</v>
      </c>
      <c r="G13" s="13">
        <v>200710</v>
      </c>
      <c r="H13" s="53">
        <f t="shared" si="0"/>
        <v>75.701628993750305</v>
      </c>
      <c r="I13" s="69"/>
      <c r="J13" s="14"/>
    </row>
    <row r="14" spans="1:10" ht="20.25" customHeight="1">
      <c r="A14" s="16" t="s">
        <v>65</v>
      </c>
      <c r="B14" s="17" t="s">
        <v>75</v>
      </c>
      <c r="C14" s="18" t="s">
        <v>57</v>
      </c>
      <c r="D14" s="19">
        <v>239615</v>
      </c>
      <c r="E14" s="19">
        <v>264543</v>
      </c>
      <c r="F14" s="19">
        <v>232779</v>
      </c>
      <c r="G14" s="19">
        <v>198838</v>
      </c>
      <c r="H14" s="48">
        <f t="shared" si="0"/>
        <v>85.419217369264416</v>
      </c>
      <c r="I14" s="3"/>
      <c r="J14" s="11"/>
    </row>
    <row r="15" spans="1:10" ht="20.25" customHeight="1">
      <c r="A15" s="8"/>
      <c r="B15" s="12" t="s">
        <v>77</v>
      </c>
      <c r="C15" s="21"/>
      <c r="D15" s="22"/>
      <c r="E15" s="22"/>
      <c r="F15" s="22"/>
      <c r="G15" s="22"/>
      <c r="H15" s="53" t="str">
        <f t="shared" si="0"/>
        <v/>
      </c>
      <c r="I15" s="53"/>
    </row>
    <row r="16" spans="1:10" ht="20.25" customHeight="1">
      <c r="A16" s="1" t="s">
        <v>33</v>
      </c>
      <c r="B16" s="17" t="s">
        <v>169</v>
      </c>
      <c r="C16" s="1" t="s">
        <v>20</v>
      </c>
      <c r="D16" s="26">
        <f>D17+D67</f>
        <v>17898.73</v>
      </c>
      <c r="E16" s="26">
        <f>E17+E67</f>
        <v>17734.400000000001</v>
      </c>
      <c r="F16" s="26">
        <f>F17+F67</f>
        <v>18028.099999999999</v>
      </c>
      <c r="G16" s="26">
        <f t="shared" ref="G16" si="1">G17+G67</f>
        <v>17665.370000000003</v>
      </c>
      <c r="H16" s="48">
        <f t="shared" si="0"/>
        <v>97.987974328964256</v>
      </c>
      <c r="I16" s="3"/>
    </row>
    <row r="17" spans="1:10" ht="17.25" customHeight="1">
      <c r="A17" s="8" t="s">
        <v>21</v>
      </c>
      <c r="B17" s="12" t="s">
        <v>190</v>
      </c>
      <c r="C17" s="8" t="s">
        <v>20</v>
      </c>
      <c r="D17" s="24">
        <f>D18+D47+D54+D50+D63</f>
        <v>8084.73</v>
      </c>
      <c r="E17" s="24">
        <f>E18+E47+E54+E50+E63</f>
        <v>7662.8</v>
      </c>
      <c r="F17" s="24">
        <f>F18+F47+F54+F50+F63</f>
        <v>7906</v>
      </c>
      <c r="G17" s="24">
        <f>G18+G47+G54+G50+G63</f>
        <v>7215.5700000000006</v>
      </c>
      <c r="H17" s="53">
        <f t="shared" si="0"/>
        <v>91.267012395648877</v>
      </c>
      <c r="I17" s="3"/>
      <c r="J17" s="63"/>
    </row>
    <row r="18" spans="1:10" s="15" customFormat="1" ht="17.25" customHeight="1">
      <c r="A18" s="8">
        <v>1</v>
      </c>
      <c r="B18" s="12" t="s">
        <v>7</v>
      </c>
      <c r="C18" s="8" t="s">
        <v>20</v>
      </c>
      <c r="D18" s="24">
        <f>D23+D38</f>
        <v>1649.23</v>
      </c>
      <c r="E18" s="24">
        <f>E23+E38</f>
        <v>1641.6</v>
      </c>
      <c r="F18" s="24">
        <f>F23+F38</f>
        <v>1614</v>
      </c>
      <c r="G18" s="24">
        <f t="shared" ref="G18" si="2">G23+G38</f>
        <v>1646.3700000000001</v>
      </c>
      <c r="H18" s="53">
        <f t="shared" si="0"/>
        <v>102.00557620817844</v>
      </c>
      <c r="I18" s="69"/>
    </row>
    <row r="19" spans="1:10" ht="17.25" customHeight="1">
      <c r="A19" s="1" t="s">
        <v>33</v>
      </c>
      <c r="B19" s="17" t="s">
        <v>8</v>
      </c>
      <c r="C19" s="1" t="s">
        <v>5</v>
      </c>
      <c r="D19" s="26">
        <f t="shared" ref="D19:F19" si="3">SUM(D20:D21)</f>
        <v>6733.6763900000005</v>
      </c>
      <c r="E19" s="26">
        <f t="shared" si="3"/>
        <v>7129.6886000000004</v>
      </c>
      <c r="F19" s="26">
        <f t="shared" si="3"/>
        <v>7071.0429999999997</v>
      </c>
      <c r="G19" s="26">
        <f t="shared" ref="G19" si="4">SUM(G20:G21)</f>
        <v>3120.1059380221645</v>
      </c>
      <c r="H19" s="48">
        <f t="shared" si="0"/>
        <v>44.125116167758627</v>
      </c>
      <c r="I19" s="3"/>
    </row>
    <row r="20" spans="1:10" ht="17.25" customHeight="1">
      <c r="A20" s="1"/>
      <c r="B20" s="27" t="s">
        <v>9</v>
      </c>
      <c r="C20" s="1" t="s">
        <v>47</v>
      </c>
      <c r="D20" s="26">
        <f t="shared" ref="D20:G20" si="5">D25</f>
        <v>6298.7078300000003</v>
      </c>
      <c r="E20" s="26">
        <f t="shared" si="5"/>
        <v>6644.7176000000009</v>
      </c>
      <c r="F20" s="26">
        <f t="shared" si="5"/>
        <v>6644.5429999999997</v>
      </c>
      <c r="G20" s="26">
        <f t="shared" si="5"/>
        <v>2973.9459380221647</v>
      </c>
      <c r="H20" s="48">
        <f t="shared" si="0"/>
        <v>44.757719801379338</v>
      </c>
      <c r="I20" s="3"/>
    </row>
    <row r="21" spans="1:10" ht="17.25" customHeight="1">
      <c r="A21" s="1"/>
      <c r="B21" s="17" t="s">
        <v>61</v>
      </c>
      <c r="C21" s="1" t="s">
        <v>47</v>
      </c>
      <c r="D21" s="26">
        <f t="shared" ref="D21:G21" si="6">D40</f>
        <v>434.96856000000002</v>
      </c>
      <c r="E21" s="26">
        <f t="shared" si="6"/>
        <v>484.97099999999995</v>
      </c>
      <c r="F21" s="26">
        <f t="shared" si="6"/>
        <v>426.5</v>
      </c>
      <c r="G21" s="26">
        <f t="shared" si="6"/>
        <v>146.16</v>
      </c>
      <c r="H21" s="48">
        <f t="shared" si="0"/>
        <v>34.269636576787811</v>
      </c>
      <c r="I21" s="3"/>
    </row>
    <row r="22" spans="1:10" ht="17.25" customHeight="1">
      <c r="A22" s="1" t="s">
        <v>33</v>
      </c>
      <c r="B22" s="17" t="s">
        <v>10</v>
      </c>
      <c r="C22" s="1" t="s">
        <v>34</v>
      </c>
      <c r="D22" s="26">
        <f>D19/D136*1000</f>
        <v>150.81697702024726</v>
      </c>
      <c r="E22" s="26">
        <f>E19/E136*1000</f>
        <v>155.57664284545305</v>
      </c>
      <c r="F22" s="26">
        <f>F19/F136*1000</f>
        <v>150.66410270068715</v>
      </c>
      <c r="G22" s="26">
        <f>G19/G136*1000</f>
        <v>66.614841325892755</v>
      </c>
      <c r="H22" s="48">
        <f t="shared" si="0"/>
        <v>44.214142673541396</v>
      </c>
      <c r="I22" s="3"/>
    </row>
    <row r="23" spans="1:10" s="15" customFormat="1" ht="17.25" customHeight="1">
      <c r="A23" s="8" t="s">
        <v>17</v>
      </c>
      <c r="B23" s="36" t="s">
        <v>191</v>
      </c>
      <c r="C23" s="8" t="s">
        <v>20</v>
      </c>
      <c r="D23" s="13">
        <f>D26+D29</f>
        <v>1558.31</v>
      </c>
      <c r="E23" s="13">
        <f>E26+E29</f>
        <v>1540</v>
      </c>
      <c r="F23" s="13">
        <f>F26+F29</f>
        <v>1531</v>
      </c>
      <c r="G23" s="13">
        <f t="shared" ref="G23" si="7">G26+G29</f>
        <v>1560.97</v>
      </c>
      <c r="H23" s="53">
        <f t="shared" si="0"/>
        <v>101.95754408883083</v>
      </c>
      <c r="I23" s="69"/>
    </row>
    <row r="24" spans="1:10" ht="17.25" customHeight="1">
      <c r="A24" s="1"/>
      <c r="B24" s="29" t="s">
        <v>11</v>
      </c>
      <c r="C24" s="1" t="s">
        <v>6</v>
      </c>
      <c r="D24" s="30">
        <f t="shared" ref="D24:G24" si="8">D25/D23*10</f>
        <v>40.420120707689748</v>
      </c>
      <c r="E24" s="30">
        <f t="shared" si="8"/>
        <v>43.147516883116886</v>
      </c>
      <c r="F24" s="30">
        <f t="shared" si="8"/>
        <v>43.400019595035921</v>
      </c>
      <c r="G24" s="30">
        <f t="shared" si="8"/>
        <v>19.051909633254738</v>
      </c>
      <c r="H24" s="48">
        <f t="shared" si="0"/>
        <v>43.898389473155646</v>
      </c>
      <c r="I24" s="3"/>
    </row>
    <row r="25" spans="1:10" ht="17.25" customHeight="1">
      <c r="A25" s="1"/>
      <c r="B25" s="29" t="s">
        <v>12</v>
      </c>
      <c r="C25" s="1" t="s">
        <v>47</v>
      </c>
      <c r="D25" s="19">
        <f>D28+D31</f>
        <v>6298.7078300000003</v>
      </c>
      <c r="E25" s="19">
        <f>E28+E31</f>
        <v>6644.7176000000009</v>
      </c>
      <c r="F25" s="19">
        <f>F28+F31</f>
        <v>6644.5429999999997</v>
      </c>
      <c r="G25" s="19">
        <f t="shared" ref="G25" si="9">G28+G31</f>
        <v>2973.9459380221647</v>
      </c>
      <c r="H25" s="48">
        <f t="shared" si="0"/>
        <v>44.757719801379338</v>
      </c>
      <c r="I25" s="3"/>
    </row>
    <row r="26" spans="1:10" ht="17.25" customHeight="1">
      <c r="A26" s="1" t="s">
        <v>183</v>
      </c>
      <c r="B26" s="100" t="s">
        <v>192</v>
      </c>
      <c r="C26" s="1" t="s">
        <v>20</v>
      </c>
      <c r="D26" s="19">
        <v>597.30999999999995</v>
      </c>
      <c r="E26" s="119">
        <v>570.5</v>
      </c>
      <c r="F26" s="49">
        <v>571</v>
      </c>
      <c r="G26" s="49">
        <v>573.87</v>
      </c>
      <c r="H26" s="48">
        <f t="shared" si="0"/>
        <v>100.50262697022767</v>
      </c>
      <c r="I26" s="3"/>
    </row>
    <row r="27" spans="1:10" ht="17.25" customHeight="1">
      <c r="A27" s="1"/>
      <c r="B27" s="100" t="s">
        <v>11</v>
      </c>
      <c r="C27" s="1" t="s">
        <v>6</v>
      </c>
      <c r="D27" s="22">
        <v>39.33</v>
      </c>
      <c r="E27" s="30">
        <v>47.2</v>
      </c>
      <c r="F27" s="48">
        <v>47.33</v>
      </c>
      <c r="G27" s="48">
        <v>51.822641678815145</v>
      </c>
      <c r="H27" s="48">
        <f t="shared" si="0"/>
        <v>109.49216496686066</v>
      </c>
      <c r="I27" s="3"/>
    </row>
    <row r="28" spans="1:10" ht="17.25" customHeight="1">
      <c r="A28" s="1"/>
      <c r="B28" s="101" t="s">
        <v>12</v>
      </c>
      <c r="C28" s="1" t="s">
        <v>47</v>
      </c>
      <c r="D28" s="19">
        <f t="shared" ref="D28:G28" si="10">D26*D27/10</f>
        <v>2349.2202299999999</v>
      </c>
      <c r="E28" s="19">
        <f t="shared" si="10"/>
        <v>2692.76</v>
      </c>
      <c r="F28" s="19">
        <f t="shared" si="10"/>
        <v>2702.5430000000001</v>
      </c>
      <c r="G28" s="19">
        <f t="shared" si="10"/>
        <v>2973.9459380221647</v>
      </c>
      <c r="H28" s="48">
        <f t="shared" si="0"/>
        <v>110.04250211827026</v>
      </c>
      <c r="I28" s="3"/>
    </row>
    <row r="29" spans="1:10" ht="17.25" customHeight="1">
      <c r="A29" s="1" t="s">
        <v>184</v>
      </c>
      <c r="B29" s="100" t="s">
        <v>193</v>
      </c>
      <c r="C29" s="1" t="s">
        <v>20</v>
      </c>
      <c r="D29" s="19">
        <f>D32+D35</f>
        <v>961</v>
      </c>
      <c r="E29" s="26">
        <f>E32+E35</f>
        <v>969.5</v>
      </c>
      <c r="F29" s="26">
        <f>F32+F35</f>
        <v>960</v>
      </c>
      <c r="G29" s="26">
        <f t="shared" ref="G29" si="11">G32+G35</f>
        <v>987.1</v>
      </c>
      <c r="H29" s="48">
        <f t="shared" si="0"/>
        <v>102.82291666666667</v>
      </c>
      <c r="I29" s="3"/>
    </row>
    <row r="30" spans="1:10" ht="17.25" customHeight="1">
      <c r="A30" s="1"/>
      <c r="B30" s="101" t="s">
        <v>11</v>
      </c>
      <c r="C30" s="1" t="s">
        <v>6</v>
      </c>
      <c r="D30" s="30">
        <f t="shared" ref="D30:G30" si="12">D31/D29*10</f>
        <v>41.097685744016658</v>
      </c>
      <c r="E30" s="25">
        <f t="shared" si="12"/>
        <v>40.762842702423939</v>
      </c>
      <c r="F30" s="25">
        <f t="shared" si="12"/>
        <v>41.0625</v>
      </c>
      <c r="G30" s="25">
        <f t="shared" si="12"/>
        <v>0</v>
      </c>
      <c r="H30" s="48">
        <f t="shared" si="0"/>
        <v>0</v>
      </c>
      <c r="I30" s="3"/>
    </row>
    <row r="31" spans="1:10" ht="17.25" customHeight="1">
      <c r="A31" s="1"/>
      <c r="B31" s="101" t="s">
        <v>12</v>
      </c>
      <c r="C31" s="1" t="s">
        <v>47</v>
      </c>
      <c r="D31" s="19">
        <f>D34+D37</f>
        <v>3949.4876000000004</v>
      </c>
      <c r="E31" s="26">
        <f>E34+E37</f>
        <v>3951.9576000000006</v>
      </c>
      <c r="F31" s="26">
        <f>F34+F37</f>
        <v>3942</v>
      </c>
      <c r="G31" s="26">
        <f t="shared" ref="G31" si="13">G34+G37</f>
        <v>0</v>
      </c>
      <c r="H31" s="48">
        <f t="shared" si="0"/>
        <v>0</v>
      </c>
      <c r="I31" s="3"/>
    </row>
    <row r="32" spans="1:10" ht="17.25" customHeight="1">
      <c r="A32" s="1"/>
      <c r="B32" s="98" t="s">
        <v>194</v>
      </c>
      <c r="C32" s="1" t="s">
        <v>20</v>
      </c>
      <c r="D32" s="19">
        <v>906.4</v>
      </c>
      <c r="E32" s="30">
        <v>903.3</v>
      </c>
      <c r="F32" s="19">
        <v>900</v>
      </c>
      <c r="G32" s="19">
        <v>893.2</v>
      </c>
      <c r="H32" s="48">
        <f t="shared" si="0"/>
        <v>99.244444444444454</v>
      </c>
      <c r="I32" s="3"/>
    </row>
    <row r="33" spans="1:9" ht="17.25" customHeight="1">
      <c r="A33" s="1"/>
      <c r="B33" s="99" t="s">
        <v>11</v>
      </c>
      <c r="C33" s="1" t="s">
        <v>6</v>
      </c>
      <c r="D33" s="22">
        <v>42.83</v>
      </c>
      <c r="E33" s="30">
        <v>42.84</v>
      </c>
      <c r="F33" s="30">
        <v>43</v>
      </c>
      <c r="G33" s="30"/>
      <c r="H33" s="48">
        <f t="shared" si="0"/>
        <v>0</v>
      </c>
      <c r="I33" s="3"/>
    </row>
    <row r="34" spans="1:9" ht="17.25" customHeight="1">
      <c r="A34" s="1"/>
      <c r="B34" s="99" t="s">
        <v>12</v>
      </c>
      <c r="C34" s="1" t="s">
        <v>47</v>
      </c>
      <c r="D34" s="19">
        <f>D33*D32/10</f>
        <v>3882.1112000000003</v>
      </c>
      <c r="E34" s="19">
        <f t="shared" ref="E34:G34" si="14">E32*E33/10</f>
        <v>3869.7372000000005</v>
      </c>
      <c r="F34" s="19">
        <f t="shared" si="14"/>
        <v>3870</v>
      </c>
      <c r="G34" s="19">
        <f t="shared" si="14"/>
        <v>0</v>
      </c>
      <c r="H34" s="48">
        <f t="shared" si="0"/>
        <v>0</v>
      </c>
      <c r="I34" s="3"/>
    </row>
    <row r="35" spans="1:9" ht="17.25" customHeight="1">
      <c r="A35" s="1"/>
      <c r="B35" s="98" t="s">
        <v>207</v>
      </c>
      <c r="C35" s="1" t="s">
        <v>20</v>
      </c>
      <c r="D35" s="19">
        <v>54.6</v>
      </c>
      <c r="E35" s="19">
        <v>66.2</v>
      </c>
      <c r="F35" s="19">
        <v>60</v>
      </c>
      <c r="G35" s="19">
        <v>93.9</v>
      </c>
      <c r="H35" s="48">
        <f t="shared" si="0"/>
        <v>156.50000000000003</v>
      </c>
      <c r="I35" s="3"/>
    </row>
    <row r="36" spans="1:9" ht="17.25" customHeight="1">
      <c r="A36" s="1"/>
      <c r="B36" s="99" t="s">
        <v>11</v>
      </c>
      <c r="C36" s="1" t="s">
        <v>6</v>
      </c>
      <c r="D36" s="30">
        <v>12.34</v>
      </c>
      <c r="E36" s="30">
        <v>12.42</v>
      </c>
      <c r="F36" s="30">
        <v>12</v>
      </c>
      <c r="G36" s="30"/>
      <c r="H36" s="48">
        <f t="shared" si="0"/>
        <v>0</v>
      </c>
      <c r="I36" s="3"/>
    </row>
    <row r="37" spans="1:9" ht="17.25" customHeight="1">
      <c r="A37" s="1"/>
      <c r="B37" s="99" t="s">
        <v>12</v>
      </c>
      <c r="C37" s="1" t="s">
        <v>47</v>
      </c>
      <c r="D37" s="19">
        <f t="shared" ref="D37:G37" si="15">D36*D35/10</f>
        <v>67.376400000000004</v>
      </c>
      <c r="E37" s="19">
        <f t="shared" si="15"/>
        <v>82.220400000000012</v>
      </c>
      <c r="F37" s="19">
        <f t="shared" si="15"/>
        <v>72</v>
      </c>
      <c r="G37" s="19">
        <f t="shared" si="15"/>
        <v>0</v>
      </c>
      <c r="H37" s="48">
        <f t="shared" si="0"/>
        <v>0</v>
      </c>
      <c r="I37" s="3"/>
    </row>
    <row r="38" spans="1:9" s="15" customFormat="1" ht="17.25" customHeight="1">
      <c r="A38" s="8" t="s">
        <v>18</v>
      </c>
      <c r="B38" s="36" t="s">
        <v>195</v>
      </c>
      <c r="C38" s="8" t="s">
        <v>20</v>
      </c>
      <c r="D38" s="13">
        <f>D41+D44</f>
        <v>90.92</v>
      </c>
      <c r="E38" s="13">
        <f>E41+E44</f>
        <v>101.6</v>
      </c>
      <c r="F38" s="13">
        <f>F41+F44</f>
        <v>83</v>
      </c>
      <c r="G38" s="13">
        <f t="shared" ref="G38" si="16">G41+G44</f>
        <v>85.4</v>
      </c>
      <c r="H38" s="53">
        <f t="shared" si="0"/>
        <v>102.89156626506025</v>
      </c>
      <c r="I38" s="69"/>
    </row>
    <row r="39" spans="1:9" ht="17.25" customHeight="1">
      <c r="A39" s="1"/>
      <c r="B39" s="29" t="s">
        <v>11</v>
      </c>
      <c r="C39" s="1" t="s">
        <v>6</v>
      </c>
      <c r="D39" s="30">
        <f t="shared" ref="D39:G39" si="17">D40/D38*10</f>
        <v>47.840800703915534</v>
      </c>
      <c r="E39" s="30">
        <f t="shared" si="17"/>
        <v>47.733366141732283</v>
      </c>
      <c r="F39" s="30">
        <f t="shared" si="17"/>
        <v>51.385542168674696</v>
      </c>
      <c r="G39" s="30">
        <f t="shared" si="17"/>
        <v>17.114754098360653</v>
      </c>
      <c r="H39" s="48">
        <f t="shared" si="0"/>
        <v>33.306555455191898</v>
      </c>
      <c r="I39" s="3"/>
    </row>
    <row r="40" spans="1:9" ht="17.25" customHeight="1">
      <c r="A40" s="1"/>
      <c r="B40" s="29" t="s">
        <v>12</v>
      </c>
      <c r="C40" s="1" t="s">
        <v>47</v>
      </c>
      <c r="D40" s="19">
        <f>D43+D46</f>
        <v>434.96856000000002</v>
      </c>
      <c r="E40" s="19">
        <f>E43+E46</f>
        <v>484.97099999999995</v>
      </c>
      <c r="F40" s="19">
        <f>F43+F46</f>
        <v>426.5</v>
      </c>
      <c r="G40" s="19">
        <f t="shared" ref="G40" si="18">G43+G46</f>
        <v>146.16</v>
      </c>
      <c r="H40" s="48">
        <f t="shared" si="0"/>
        <v>34.269636576787811</v>
      </c>
      <c r="I40" s="3"/>
    </row>
    <row r="41" spans="1:9" ht="17.25" customHeight="1">
      <c r="A41" s="1" t="s">
        <v>185</v>
      </c>
      <c r="B41" s="100" t="s">
        <v>208</v>
      </c>
      <c r="C41" s="1" t="s">
        <v>20</v>
      </c>
      <c r="D41" s="26">
        <v>28.22</v>
      </c>
      <c r="E41" s="26">
        <v>38.700000000000003</v>
      </c>
      <c r="F41" s="26">
        <v>23</v>
      </c>
      <c r="G41" s="26">
        <v>25.2</v>
      </c>
      <c r="H41" s="48">
        <f t="shared" si="0"/>
        <v>109.56521739130434</v>
      </c>
      <c r="I41" s="3"/>
    </row>
    <row r="42" spans="1:9" ht="17.25" customHeight="1">
      <c r="A42" s="1"/>
      <c r="B42" s="100" t="s">
        <v>11</v>
      </c>
      <c r="C42" s="1" t="s">
        <v>6</v>
      </c>
      <c r="D42" s="25">
        <v>56.13</v>
      </c>
      <c r="E42" s="25">
        <v>47.3</v>
      </c>
      <c r="F42" s="25">
        <v>55</v>
      </c>
      <c r="G42" s="25">
        <v>58</v>
      </c>
      <c r="H42" s="48">
        <f t="shared" si="0"/>
        <v>105.45454545454544</v>
      </c>
      <c r="I42" s="3"/>
    </row>
    <row r="43" spans="1:9" ht="17.25" customHeight="1">
      <c r="A43" s="1"/>
      <c r="B43" s="101" t="s">
        <v>12</v>
      </c>
      <c r="C43" s="1" t="s">
        <v>47</v>
      </c>
      <c r="D43" s="26">
        <f t="shared" ref="D43:G43" si="19">D42*D41/10</f>
        <v>158.39885999999998</v>
      </c>
      <c r="E43" s="26">
        <f t="shared" si="19"/>
        <v>183.05099999999999</v>
      </c>
      <c r="F43" s="26">
        <f t="shared" si="19"/>
        <v>126.5</v>
      </c>
      <c r="G43" s="26">
        <f t="shared" si="19"/>
        <v>146.16</v>
      </c>
      <c r="H43" s="48">
        <f t="shared" si="0"/>
        <v>115.54150197628459</v>
      </c>
      <c r="I43" s="3"/>
    </row>
    <row r="44" spans="1:9" ht="17.25" customHeight="1">
      <c r="A44" s="1" t="s">
        <v>186</v>
      </c>
      <c r="B44" s="100" t="s">
        <v>209</v>
      </c>
      <c r="C44" s="1" t="s">
        <v>20</v>
      </c>
      <c r="D44" s="26">
        <v>62.7</v>
      </c>
      <c r="E44" s="26">
        <v>62.9</v>
      </c>
      <c r="F44" s="26">
        <v>60</v>
      </c>
      <c r="G44" s="26">
        <v>60.2</v>
      </c>
      <c r="H44" s="48">
        <f t="shared" si="0"/>
        <v>100.33333333333334</v>
      </c>
      <c r="I44" s="3"/>
    </row>
    <row r="45" spans="1:9" ht="17.25" customHeight="1">
      <c r="A45" s="1"/>
      <c r="B45" s="100" t="s">
        <v>11</v>
      </c>
      <c r="C45" s="1" t="s">
        <v>6</v>
      </c>
      <c r="D45" s="25">
        <v>44.11</v>
      </c>
      <c r="E45" s="25">
        <v>48</v>
      </c>
      <c r="F45" s="25">
        <v>50</v>
      </c>
      <c r="G45" s="25"/>
      <c r="H45" s="48">
        <f t="shared" si="0"/>
        <v>0</v>
      </c>
      <c r="I45" s="3"/>
    </row>
    <row r="46" spans="1:9" ht="17.25" customHeight="1">
      <c r="A46" s="1"/>
      <c r="B46" s="101" t="s">
        <v>12</v>
      </c>
      <c r="C46" s="1" t="s">
        <v>47</v>
      </c>
      <c r="D46" s="26">
        <f>D44*D45/10</f>
        <v>276.56970000000001</v>
      </c>
      <c r="E46" s="26">
        <f t="shared" ref="E46:G46" si="20">E45*E44/10</f>
        <v>301.91999999999996</v>
      </c>
      <c r="F46" s="26">
        <f t="shared" si="20"/>
        <v>300</v>
      </c>
      <c r="G46" s="26">
        <f t="shared" si="20"/>
        <v>0</v>
      </c>
      <c r="H46" s="48">
        <f t="shared" si="0"/>
        <v>0</v>
      </c>
      <c r="I46" s="3"/>
    </row>
    <row r="47" spans="1:9" ht="19.5" customHeight="1">
      <c r="A47" s="8">
        <v>2</v>
      </c>
      <c r="B47" s="12" t="s">
        <v>13</v>
      </c>
      <c r="C47" s="1" t="s">
        <v>20</v>
      </c>
      <c r="D47" s="24">
        <v>6199.5</v>
      </c>
      <c r="E47" s="24">
        <v>5720.5</v>
      </c>
      <c r="F47" s="24">
        <v>6000</v>
      </c>
      <c r="G47" s="24">
        <v>5281.3</v>
      </c>
      <c r="H47" s="53">
        <f t="shared" si="0"/>
        <v>88.021666666666675</v>
      </c>
      <c r="I47" s="3"/>
    </row>
    <row r="48" spans="1:9" ht="19.5" customHeight="1">
      <c r="A48" s="31"/>
      <c r="B48" s="29" t="s">
        <v>11</v>
      </c>
      <c r="C48" s="1" t="s">
        <v>6</v>
      </c>
      <c r="D48" s="25">
        <f>D49/D47*10</f>
        <v>148.34260827486088</v>
      </c>
      <c r="E48" s="25">
        <v>148.51</v>
      </c>
      <c r="F48" s="25">
        <v>145</v>
      </c>
      <c r="G48" s="25"/>
      <c r="H48" s="48">
        <f t="shared" si="0"/>
        <v>0</v>
      </c>
      <c r="I48" s="3"/>
    </row>
    <row r="49" spans="1:9" ht="19.5" customHeight="1">
      <c r="A49" s="31"/>
      <c r="B49" s="29" t="s">
        <v>12</v>
      </c>
      <c r="C49" s="1" t="s">
        <v>47</v>
      </c>
      <c r="D49" s="26">
        <v>91965</v>
      </c>
      <c r="E49" s="26">
        <f>E48*E47/10</f>
        <v>84955.145499999999</v>
      </c>
      <c r="F49" s="26">
        <f>F48*F47/10</f>
        <v>87000</v>
      </c>
      <c r="G49" s="26">
        <f t="shared" ref="G49" si="21">G48*G47/10</f>
        <v>0</v>
      </c>
      <c r="H49" s="48">
        <f t="shared" si="0"/>
        <v>0</v>
      </c>
      <c r="I49" s="3"/>
    </row>
    <row r="50" spans="1:9" s="15" customFormat="1" ht="19.5" customHeight="1">
      <c r="A50" s="8">
        <v>3</v>
      </c>
      <c r="B50" s="12" t="s">
        <v>114</v>
      </c>
      <c r="C50" s="8" t="s">
        <v>20</v>
      </c>
      <c r="D50" s="24">
        <v>9.1999999999999993</v>
      </c>
      <c r="E50" s="24">
        <v>10.5</v>
      </c>
      <c r="F50" s="24">
        <v>30</v>
      </c>
      <c r="G50" s="24">
        <v>29.1</v>
      </c>
      <c r="H50" s="53">
        <f t="shared" si="0"/>
        <v>97.000000000000014</v>
      </c>
      <c r="I50" s="69"/>
    </row>
    <row r="51" spans="1:9" ht="19.5" customHeight="1">
      <c r="A51" s="1"/>
      <c r="B51" s="27" t="s">
        <v>53</v>
      </c>
      <c r="C51" s="1" t="s">
        <v>20</v>
      </c>
      <c r="D51" s="26"/>
      <c r="E51" s="26"/>
      <c r="F51" s="26">
        <v>20</v>
      </c>
      <c r="G51" s="26">
        <v>19.100000000000001</v>
      </c>
      <c r="H51" s="48">
        <f t="shared" si="0"/>
        <v>95.5</v>
      </c>
      <c r="I51" s="3"/>
    </row>
    <row r="52" spans="1:9" ht="19.5" customHeight="1">
      <c r="A52" s="31"/>
      <c r="B52" s="29" t="s">
        <v>11</v>
      </c>
      <c r="C52" s="1" t="s">
        <v>6</v>
      </c>
      <c r="D52" s="25"/>
      <c r="E52" s="25">
        <v>600</v>
      </c>
      <c r="F52" s="25">
        <v>733.3</v>
      </c>
      <c r="G52" s="25"/>
      <c r="H52" s="48">
        <f t="shared" si="0"/>
        <v>0</v>
      </c>
      <c r="I52" s="3"/>
    </row>
    <row r="53" spans="1:9" ht="19.5" customHeight="1">
      <c r="A53" s="31"/>
      <c r="B53" s="29" t="s">
        <v>12</v>
      </c>
      <c r="C53" s="1" t="s">
        <v>47</v>
      </c>
      <c r="D53" s="26">
        <f>D52*D50/10</f>
        <v>0</v>
      </c>
      <c r="E53" s="26">
        <f>E52*E50/10</f>
        <v>630</v>
      </c>
      <c r="F53" s="26">
        <f>F52*F50/10</f>
        <v>2199.9</v>
      </c>
      <c r="G53" s="26">
        <f t="shared" ref="G53" si="22">G52*G50/10</f>
        <v>0</v>
      </c>
      <c r="H53" s="48">
        <f t="shared" si="0"/>
        <v>0</v>
      </c>
      <c r="I53" s="3"/>
    </row>
    <row r="54" spans="1:9" ht="19.5" customHeight="1">
      <c r="A54" s="8">
        <v>4</v>
      </c>
      <c r="B54" s="12" t="s">
        <v>60</v>
      </c>
      <c r="C54" s="1" t="s">
        <v>20</v>
      </c>
      <c r="D54" s="24">
        <f>D57+D60</f>
        <v>219.3</v>
      </c>
      <c r="E54" s="24">
        <f>E57+E60</f>
        <v>259</v>
      </c>
      <c r="F54" s="24">
        <f>F57+F60</f>
        <v>230</v>
      </c>
      <c r="G54" s="24">
        <f t="shared" ref="G54" si="23">G57+G60</f>
        <v>220.8</v>
      </c>
      <c r="H54" s="53">
        <f t="shared" si="0"/>
        <v>96.000000000000014</v>
      </c>
      <c r="I54" s="3"/>
    </row>
    <row r="55" spans="1:9" ht="19.5" customHeight="1">
      <c r="A55" s="31"/>
      <c r="B55" s="29" t="s">
        <v>11</v>
      </c>
      <c r="C55" s="1" t="s">
        <v>6</v>
      </c>
      <c r="D55" s="25">
        <f t="shared" ref="D55:G55" si="24">D56/D54*10</f>
        <v>119.96580027359781</v>
      </c>
      <c r="E55" s="25">
        <f t="shared" si="24"/>
        <v>134.57142857142858</v>
      </c>
      <c r="F55" s="25">
        <f t="shared" si="24"/>
        <v>136.63173913043477</v>
      </c>
      <c r="G55" s="25">
        <f t="shared" si="24"/>
        <v>81.244565217391283</v>
      </c>
      <c r="H55" s="48">
        <f t="shared" si="0"/>
        <v>59.462439499384246</v>
      </c>
      <c r="I55" s="3"/>
    </row>
    <row r="56" spans="1:9" ht="19.5" customHeight="1">
      <c r="A56" s="31"/>
      <c r="B56" s="29" t="s">
        <v>12</v>
      </c>
      <c r="C56" s="1" t="s">
        <v>47</v>
      </c>
      <c r="D56" s="26">
        <f>D59+D62</f>
        <v>2630.85</v>
      </c>
      <c r="E56" s="26">
        <f>E59+E62</f>
        <v>3485.4</v>
      </c>
      <c r="F56" s="26">
        <f>F59+F62</f>
        <v>3142.5299999999997</v>
      </c>
      <c r="G56" s="26">
        <f t="shared" ref="G56" si="25">G59+G62</f>
        <v>1793.8799999999999</v>
      </c>
      <c r="H56" s="48">
        <f t="shared" si="0"/>
        <v>57.083941919408886</v>
      </c>
      <c r="I56" s="3"/>
    </row>
    <row r="57" spans="1:9" ht="19.5" customHeight="1">
      <c r="A57" s="1"/>
      <c r="B57" s="118" t="s">
        <v>210</v>
      </c>
      <c r="C57" s="18" t="s">
        <v>20</v>
      </c>
      <c r="D57" s="19">
        <v>97.3</v>
      </c>
      <c r="E57" s="19">
        <v>137</v>
      </c>
      <c r="F57" s="19">
        <v>123</v>
      </c>
      <c r="G57" s="19">
        <v>118.8</v>
      </c>
      <c r="H57" s="48">
        <f t="shared" si="0"/>
        <v>96.58536585365853</v>
      </c>
      <c r="I57" s="3"/>
    </row>
    <row r="58" spans="1:9" ht="19.5" customHeight="1">
      <c r="A58" s="1"/>
      <c r="B58" s="118" t="s">
        <v>11</v>
      </c>
      <c r="C58" s="18" t="s">
        <v>6</v>
      </c>
      <c r="D58" s="30">
        <v>145</v>
      </c>
      <c r="E58" s="30">
        <v>152</v>
      </c>
      <c r="F58" s="30">
        <v>151.1</v>
      </c>
      <c r="G58" s="30">
        <v>151</v>
      </c>
      <c r="H58" s="48">
        <f t="shared" si="0"/>
        <v>99.933818663137004</v>
      </c>
      <c r="I58" s="3"/>
    </row>
    <row r="59" spans="1:9" ht="19.5" customHeight="1">
      <c r="A59" s="1"/>
      <c r="B59" s="118" t="s">
        <v>12</v>
      </c>
      <c r="C59" s="18" t="s">
        <v>47</v>
      </c>
      <c r="D59" s="19">
        <f t="shared" ref="D59:G59" si="26">D58*D57/10</f>
        <v>1410.85</v>
      </c>
      <c r="E59" s="19">
        <f t="shared" si="26"/>
        <v>2082.4</v>
      </c>
      <c r="F59" s="19">
        <f t="shared" si="26"/>
        <v>1858.53</v>
      </c>
      <c r="G59" s="19">
        <f t="shared" si="26"/>
        <v>1793.8799999999999</v>
      </c>
      <c r="H59" s="48">
        <f t="shared" si="0"/>
        <v>96.521444367322559</v>
      </c>
      <c r="I59" s="3"/>
    </row>
    <row r="60" spans="1:9" ht="19.5" customHeight="1">
      <c r="A60" s="1"/>
      <c r="B60" s="118" t="s">
        <v>211</v>
      </c>
      <c r="C60" s="18" t="s">
        <v>20</v>
      </c>
      <c r="D60" s="19">
        <v>122</v>
      </c>
      <c r="E60" s="19">
        <v>122</v>
      </c>
      <c r="F60" s="19">
        <v>107</v>
      </c>
      <c r="G60" s="19">
        <f>90+12</f>
        <v>102</v>
      </c>
      <c r="H60" s="48">
        <f t="shared" si="0"/>
        <v>95.327102803738313</v>
      </c>
      <c r="I60" s="3"/>
    </row>
    <row r="61" spans="1:9" ht="19.5" customHeight="1">
      <c r="A61" s="1"/>
      <c r="B61" s="118" t="s">
        <v>11</v>
      </c>
      <c r="C61" s="18" t="s">
        <v>6</v>
      </c>
      <c r="D61" s="30">
        <v>100</v>
      </c>
      <c r="E61" s="30">
        <v>115</v>
      </c>
      <c r="F61" s="30">
        <v>120</v>
      </c>
      <c r="G61" s="30"/>
      <c r="H61" s="48">
        <f t="shared" si="0"/>
        <v>0</v>
      </c>
      <c r="I61" s="3"/>
    </row>
    <row r="62" spans="1:9" ht="19.5" customHeight="1">
      <c r="A62" s="1"/>
      <c r="B62" s="118" t="s">
        <v>12</v>
      </c>
      <c r="C62" s="18" t="s">
        <v>47</v>
      </c>
      <c r="D62" s="19">
        <f t="shared" ref="D62:G62" si="27">D61*D60/10</f>
        <v>1220</v>
      </c>
      <c r="E62" s="19">
        <f t="shared" si="27"/>
        <v>1403</v>
      </c>
      <c r="F62" s="19">
        <f t="shared" si="27"/>
        <v>1284</v>
      </c>
      <c r="G62" s="66">
        <f t="shared" si="27"/>
        <v>0</v>
      </c>
      <c r="H62" s="48">
        <f t="shared" si="0"/>
        <v>0</v>
      </c>
      <c r="I62" s="3"/>
    </row>
    <row r="63" spans="1:9" s="15" customFormat="1" ht="31.2">
      <c r="A63" s="8">
        <v>5</v>
      </c>
      <c r="B63" s="12" t="s">
        <v>179</v>
      </c>
      <c r="C63" s="8" t="s">
        <v>20</v>
      </c>
      <c r="D63" s="28">
        <f t="shared" ref="D63:G63" si="28">SUM(D64:D66)</f>
        <v>7.5</v>
      </c>
      <c r="E63" s="28">
        <f t="shared" si="28"/>
        <v>31.2</v>
      </c>
      <c r="F63" s="28">
        <f t="shared" si="28"/>
        <v>32</v>
      </c>
      <c r="G63" s="28">
        <f t="shared" si="28"/>
        <v>38</v>
      </c>
      <c r="H63" s="53">
        <f t="shared" si="0"/>
        <v>118.75</v>
      </c>
      <c r="I63" s="69"/>
    </row>
    <row r="64" spans="1:9" ht="19.5" hidden="1" customHeight="1" outlineLevel="1">
      <c r="A64" s="1"/>
      <c r="B64" s="17" t="s">
        <v>170</v>
      </c>
      <c r="C64" s="1" t="s">
        <v>20</v>
      </c>
      <c r="D64" s="25">
        <v>3.7</v>
      </c>
      <c r="E64" s="25">
        <v>4</v>
      </c>
      <c r="F64" s="25">
        <v>4</v>
      </c>
      <c r="G64" s="25">
        <v>4</v>
      </c>
      <c r="H64" s="48">
        <f t="shared" si="0"/>
        <v>100</v>
      </c>
      <c r="I64" s="3"/>
    </row>
    <row r="65" spans="1:10" ht="19.5" hidden="1" customHeight="1" outlineLevel="1">
      <c r="A65" s="1"/>
      <c r="B65" s="17" t="s">
        <v>171</v>
      </c>
      <c r="C65" s="1" t="s">
        <v>20</v>
      </c>
      <c r="D65" s="25">
        <v>3.8</v>
      </c>
      <c r="E65" s="25">
        <v>4</v>
      </c>
      <c r="F65" s="25">
        <v>4</v>
      </c>
      <c r="G65" s="25">
        <v>3.8</v>
      </c>
      <c r="H65" s="48">
        <f t="shared" si="0"/>
        <v>95</v>
      </c>
      <c r="I65" s="3"/>
    </row>
    <row r="66" spans="1:10" ht="19.5" hidden="1" customHeight="1" outlineLevel="1">
      <c r="A66" s="1"/>
      <c r="B66" s="17" t="s">
        <v>172</v>
      </c>
      <c r="C66" s="1" t="s">
        <v>20</v>
      </c>
      <c r="D66" s="25"/>
      <c r="E66" s="25">
        <v>23.2</v>
      </c>
      <c r="F66" s="25">
        <v>24</v>
      </c>
      <c r="G66" s="25">
        <v>30.2</v>
      </c>
      <c r="H66" s="48">
        <f t="shared" si="0"/>
        <v>125.83333333333333</v>
      </c>
      <c r="I66" s="3"/>
    </row>
    <row r="67" spans="1:10" ht="17.25" customHeight="1" collapsed="1">
      <c r="A67" s="21" t="s">
        <v>22</v>
      </c>
      <c r="B67" s="12" t="s">
        <v>52</v>
      </c>
      <c r="C67" s="8" t="s">
        <v>20</v>
      </c>
      <c r="D67" s="24">
        <f>D68+D81+D94</f>
        <v>9814</v>
      </c>
      <c r="E67" s="24">
        <f>E68+E81+E94</f>
        <v>10071.6</v>
      </c>
      <c r="F67" s="24">
        <f>F68+F81+F94</f>
        <v>10122.1</v>
      </c>
      <c r="G67" s="24">
        <f>G68+G81+G94</f>
        <v>10449.800000000001</v>
      </c>
      <c r="H67" s="53">
        <f t="shared" si="0"/>
        <v>103.23747048537359</v>
      </c>
      <c r="I67" s="3"/>
    </row>
    <row r="68" spans="1:10" s="15" customFormat="1" ht="17.25" customHeight="1">
      <c r="A68" s="21">
        <v>1</v>
      </c>
      <c r="B68" s="20" t="s">
        <v>199</v>
      </c>
      <c r="C68" s="8" t="s">
        <v>20</v>
      </c>
      <c r="D68" s="24">
        <f t="shared" ref="D68:G68" si="29">D69+D75</f>
        <v>9537.2999999999993</v>
      </c>
      <c r="E68" s="24">
        <f t="shared" si="29"/>
        <v>9722.1</v>
      </c>
      <c r="F68" s="24">
        <f t="shared" si="29"/>
        <v>9772.1</v>
      </c>
      <c r="G68" s="24">
        <f t="shared" si="29"/>
        <v>10029.6</v>
      </c>
      <c r="H68" s="53">
        <f t="shared" si="0"/>
        <v>102.63505285455531</v>
      </c>
      <c r="I68" s="69"/>
    </row>
    <row r="69" spans="1:10" s="15" customFormat="1" ht="17.25" customHeight="1">
      <c r="A69" s="8" t="s">
        <v>17</v>
      </c>
      <c r="B69" s="12" t="s">
        <v>196</v>
      </c>
      <c r="C69" s="8" t="s">
        <v>20</v>
      </c>
      <c r="D69" s="13">
        <v>1743.8</v>
      </c>
      <c r="E69" s="13">
        <f>D69+E70</f>
        <v>1919.5</v>
      </c>
      <c r="F69" s="13">
        <f>E69+F70-F71</f>
        <v>1969.5</v>
      </c>
      <c r="G69" s="13">
        <f>E69+G70-G71</f>
        <v>2299.5</v>
      </c>
      <c r="H69" s="53">
        <f t="shared" si="0"/>
        <v>116.75552170601675</v>
      </c>
      <c r="I69" s="69"/>
    </row>
    <row r="70" spans="1:10" ht="17.25" customHeight="1">
      <c r="A70" s="1"/>
      <c r="B70" s="17" t="s">
        <v>53</v>
      </c>
      <c r="C70" s="1" t="s">
        <v>20</v>
      </c>
      <c r="D70" s="30">
        <v>185.9</v>
      </c>
      <c r="E70" s="30">
        <v>175.7</v>
      </c>
      <c r="F70" s="30">
        <v>50</v>
      </c>
      <c r="G70" s="30">
        <v>381</v>
      </c>
      <c r="H70" s="48">
        <f t="shared" si="0"/>
        <v>762</v>
      </c>
      <c r="I70" s="3"/>
    </row>
    <row r="71" spans="1:10" ht="17.25" customHeight="1">
      <c r="A71" s="1"/>
      <c r="B71" s="17" t="s">
        <v>116</v>
      </c>
      <c r="C71" s="1" t="s">
        <v>20</v>
      </c>
      <c r="D71" s="30"/>
      <c r="E71" s="30"/>
      <c r="F71" s="30"/>
      <c r="G71" s="30">
        <v>1</v>
      </c>
      <c r="H71" s="48"/>
      <c r="I71" s="3"/>
    </row>
    <row r="72" spans="1:10" ht="17.25" customHeight="1">
      <c r="A72" s="1"/>
      <c r="B72" s="17" t="s">
        <v>54</v>
      </c>
      <c r="C72" s="1" t="s">
        <v>20</v>
      </c>
      <c r="D72" s="19">
        <v>1246</v>
      </c>
      <c r="E72" s="19">
        <v>1384</v>
      </c>
      <c r="F72" s="19">
        <v>1559</v>
      </c>
      <c r="G72" s="19">
        <v>1558</v>
      </c>
      <c r="H72" s="48">
        <f t="shared" ref="H72:H135" si="30">IFERROR(G72/F72%,"")</f>
        <v>99.935856318152659</v>
      </c>
      <c r="I72" s="3"/>
      <c r="J72" s="67"/>
    </row>
    <row r="73" spans="1:10" ht="17.25" customHeight="1">
      <c r="A73" s="1"/>
      <c r="B73" s="17" t="s">
        <v>55</v>
      </c>
      <c r="C73" s="1" t="s">
        <v>6</v>
      </c>
      <c r="D73" s="30">
        <v>31.73</v>
      </c>
      <c r="E73" s="30">
        <v>35.65</v>
      </c>
      <c r="F73" s="30">
        <v>35</v>
      </c>
      <c r="G73" s="30"/>
      <c r="H73" s="48">
        <f t="shared" si="30"/>
        <v>0</v>
      </c>
      <c r="I73" s="3"/>
    </row>
    <row r="74" spans="1:10" ht="17.25" customHeight="1">
      <c r="A74" s="1"/>
      <c r="B74" s="17" t="s">
        <v>115</v>
      </c>
      <c r="C74" s="1" t="s">
        <v>47</v>
      </c>
      <c r="D74" s="19">
        <f>D72*D73/10</f>
        <v>3953.558</v>
      </c>
      <c r="E74" s="19">
        <f>E72*E73/10</f>
        <v>4933.96</v>
      </c>
      <c r="F74" s="19">
        <f>F72*F73/10</f>
        <v>5456.5</v>
      </c>
      <c r="G74" s="66">
        <f t="shared" ref="G74" si="31">G72*G73/10</f>
        <v>0</v>
      </c>
      <c r="H74" s="48">
        <f t="shared" si="30"/>
        <v>0</v>
      </c>
      <c r="I74" s="3"/>
    </row>
    <row r="75" spans="1:10" s="15" customFormat="1" ht="17.25" customHeight="1">
      <c r="A75" s="8" t="s">
        <v>18</v>
      </c>
      <c r="B75" s="12" t="s">
        <v>197</v>
      </c>
      <c r="C75" s="8" t="s">
        <v>20</v>
      </c>
      <c r="D75" s="13">
        <v>7793.5</v>
      </c>
      <c r="E75" s="13">
        <f>D75+E76-E77</f>
        <v>7802.6</v>
      </c>
      <c r="F75" s="13">
        <f>E75+F76-F77</f>
        <v>7802.6</v>
      </c>
      <c r="G75" s="13">
        <f>E75+G76-G77</f>
        <v>7730.1</v>
      </c>
      <c r="H75" s="53">
        <f t="shared" si="30"/>
        <v>99.070822546330703</v>
      </c>
      <c r="I75" s="69"/>
    </row>
    <row r="76" spans="1:10" ht="17.25" customHeight="1">
      <c r="A76" s="1"/>
      <c r="B76" s="17" t="s">
        <v>53</v>
      </c>
      <c r="C76" s="1" t="s">
        <v>20</v>
      </c>
      <c r="D76" s="35">
        <v>0</v>
      </c>
      <c r="E76" s="25">
        <v>24.6</v>
      </c>
      <c r="F76" s="35"/>
      <c r="G76" s="35">
        <v>38.299999999999997</v>
      </c>
      <c r="H76" s="48" t="str">
        <f t="shared" si="30"/>
        <v/>
      </c>
      <c r="I76" s="3"/>
    </row>
    <row r="77" spans="1:10" ht="17.25" customHeight="1">
      <c r="A77" s="1"/>
      <c r="B77" s="17" t="s">
        <v>116</v>
      </c>
      <c r="C77" s="1" t="s">
        <v>20</v>
      </c>
      <c r="D77" s="25">
        <v>81.5</v>
      </c>
      <c r="E77" s="25">
        <v>15.5</v>
      </c>
      <c r="F77" s="35"/>
      <c r="G77" s="35">
        <v>110.8</v>
      </c>
      <c r="H77" s="48" t="str">
        <f t="shared" si="30"/>
        <v/>
      </c>
      <c r="I77" s="3"/>
    </row>
    <row r="78" spans="1:10" ht="17.25" customHeight="1">
      <c r="A78" s="1"/>
      <c r="B78" s="17" t="s">
        <v>54</v>
      </c>
      <c r="C78" s="1" t="s">
        <v>20</v>
      </c>
      <c r="D78" s="19">
        <v>4821</v>
      </c>
      <c r="E78" s="19">
        <v>5385</v>
      </c>
      <c r="F78" s="19">
        <v>5755</v>
      </c>
      <c r="G78" s="19">
        <v>5723.7</v>
      </c>
      <c r="H78" s="48">
        <f t="shared" si="30"/>
        <v>99.456125108601213</v>
      </c>
      <c r="I78" s="3"/>
    </row>
    <row r="79" spans="1:10" ht="17.25" customHeight="1">
      <c r="A79" s="1"/>
      <c r="B79" s="17" t="s">
        <v>56</v>
      </c>
      <c r="C79" s="1" t="s">
        <v>6</v>
      </c>
      <c r="D79" s="30">
        <v>12.33</v>
      </c>
      <c r="E79" s="30">
        <v>12.35</v>
      </c>
      <c r="F79" s="30">
        <v>12.5</v>
      </c>
      <c r="G79" s="30">
        <v>12.5</v>
      </c>
      <c r="H79" s="48">
        <f t="shared" si="30"/>
        <v>100</v>
      </c>
      <c r="I79" s="3"/>
    </row>
    <row r="80" spans="1:10" ht="17.25" customHeight="1">
      <c r="A80" s="1"/>
      <c r="B80" s="17" t="s">
        <v>225</v>
      </c>
      <c r="C80" s="1" t="s">
        <v>47</v>
      </c>
      <c r="D80" s="19">
        <f>D78*D79/10</f>
        <v>5944.2929999999997</v>
      </c>
      <c r="E80" s="19">
        <f>E78*E79/10</f>
        <v>6650.4750000000004</v>
      </c>
      <c r="F80" s="19">
        <f>F78*F79/10</f>
        <v>7193.75</v>
      </c>
      <c r="G80" s="19">
        <f t="shared" ref="G80" si="32">G78*G79/10</f>
        <v>7154.625</v>
      </c>
      <c r="H80" s="48">
        <f t="shared" si="30"/>
        <v>99.456125108601213</v>
      </c>
      <c r="I80" s="3"/>
    </row>
    <row r="81" spans="1:10" s="15" customFormat="1" ht="17.25" customHeight="1">
      <c r="A81" s="8">
        <v>2</v>
      </c>
      <c r="B81" s="12" t="s">
        <v>78</v>
      </c>
      <c r="C81" s="8" t="s">
        <v>20</v>
      </c>
      <c r="D81" s="13">
        <v>155.19999999999999</v>
      </c>
      <c r="E81" s="13">
        <v>218.9</v>
      </c>
      <c r="F81" s="13">
        <v>220</v>
      </c>
      <c r="G81" s="13">
        <f>G82+G87+G91+G92+G93</f>
        <v>294.5</v>
      </c>
      <c r="H81" s="53">
        <f t="shared" si="30"/>
        <v>133.86363636363635</v>
      </c>
      <c r="I81" s="69"/>
    </row>
    <row r="82" spans="1:10" s="237" customFormat="1" ht="17.25" hidden="1" customHeight="1" outlineLevel="1">
      <c r="A82" s="80" t="s">
        <v>17</v>
      </c>
      <c r="B82" s="242" t="s">
        <v>490</v>
      </c>
      <c r="C82" s="243" t="s">
        <v>20</v>
      </c>
      <c r="D82" s="244"/>
      <c r="E82" s="235"/>
      <c r="F82" s="238"/>
      <c r="G82" s="244">
        <f>G83+G84+G85+G86</f>
        <v>162.30000000000001</v>
      </c>
      <c r="H82" s="239" t="str">
        <f t="shared" si="30"/>
        <v/>
      </c>
      <c r="I82" s="236"/>
    </row>
    <row r="83" spans="1:10" s="15" customFormat="1" ht="17.25" hidden="1" customHeight="1" outlineLevel="1">
      <c r="A83" s="8"/>
      <c r="B83" s="245" t="s">
        <v>483</v>
      </c>
      <c r="C83" s="246" t="s">
        <v>20</v>
      </c>
      <c r="D83" s="247"/>
      <c r="E83" s="13"/>
      <c r="F83" s="240"/>
      <c r="G83" s="247">
        <v>10.3</v>
      </c>
      <c r="H83" s="241" t="str">
        <f t="shared" si="30"/>
        <v/>
      </c>
      <c r="I83" s="69"/>
    </row>
    <row r="84" spans="1:10" s="15" customFormat="1" ht="17.25" hidden="1" customHeight="1" outlineLevel="1">
      <c r="A84" s="8"/>
      <c r="B84" s="245" t="s">
        <v>484</v>
      </c>
      <c r="C84" s="246" t="s">
        <v>20</v>
      </c>
      <c r="D84" s="247"/>
      <c r="E84" s="13"/>
      <c r="F84" s="240"/>
      <c r="G84" s="247">
        <v>114.5</v>
      </c>
      <c r="H84" s="241" t="str">
        <f t="shared" si="30"/>
        <v/>
      </c>
      <c r="I84" s="69"/>
    </row>
    <row r="85" spans="1:10" s="15" customFormat="1" ht="17.25" hidden="1" customHeight="1" outlineLevel="1">
      <c r="A85" s="8"/>
      <c r="B85" s="245" t="s">
        <v>485</v>
      </c>
      <c r="C85" s="246" t="s">
        <v>20</v>
      </c>
      <c r="D85" s="247"/>
      <c r="E85" s="13"/>
      <c r="F85" s="240"/>
      <c r="G85" s="247">
        <v>30.5</v>
      </c>
      <c r="H85" s="241" t="str">
        <f t="shared" si="30"/>
        <v/>
      </c>
      <c r="I85" s="69"/>
    </row>
    <row r="86" spans="1:10" s="15" customFormat="1" ht="17.25" hidden="1" customHeight="1" outlineLevel="1">
      <c r="A86" s="8"/>
      <c r="B86" s="245" t="s">
        <v>486</v>
      </c>
      <c r="C86" s="246" t="s">
        <v>20</v>
      </c>
      <c r="D86" s="247"/>
      <c r="E86" s="13"/>
      <c r="F86" s="240"/>
      <c r="G86" s="247">
        <v>7</v>
      </c>
      <c r="H86" s="241" t="str">
        <f t="shared" si="30"/>
        <v/>
      </c>
      <c r="I86" s="69"/>
    </row>
    <row r="87" spans="1:10" s="237" customFormat="1" ht="17.25" hidden="1" customHeight="1" outlineLevel="1">
      <c r="A87" s="80" t="s">
        <v>18</v>
      </c>
      <c r="B87" s="242" t="s">
        <v>491</v>
      </c>
      <c r="C87" s="243" t="s">
        <v>20</v>
      </c>
      <c r="D87" s="244"/>
      <c r="E87" s="235"/>
      <c r="F87" s="238"/>
      <c r="G87" s="244">
        <f>SUM(G88:G90)</f>
        <v>116.5</v>
      </c>
      <c r="H87" s="239" t="str">
        <f t="shared" si="30"/>
        <v/>
      </c>
      <c r="I87" s="236"/>
    </row>
    <row r="88" spans="1:10" s="15" customFormat="1" ht="17.25" hidden="1" customHeight="1" outlineLevel="1">
      <c r="A88" s="8"/>
      <c r="B88" s="245" t="s">
        <v>487</v>
      </c>
      <c r="C88" s="246" t="s">
        <v>20</v>
      </c>
      <c r="D88" s="247"/>
      <c r="E88" s="13"/>
      <c r="F88" s="240"/>
      <c r="G88" s="247">
        <v>0.8</v>
      </c>
      <c r="H88" s="241" t="str">
        <f t="shared" si="30"/>
        <v/>
      </c>
      <c r="I88" s="69"/>
    </row>
    <row r="89" spans="1:10" s="15" customFormat="1" ht="17.25" hidden="1" customHeight="1" outlineLevel="1">
      <c r="A89" s="8"/>
      <c r="B89" s="245" t="s">
        <v>488</v>
      </c>
      <c r="C89" s="246" t="s">
        <v>20</v>
      </c>
      <c r="D89" s="247"/>
      <c r="E89" s="13"/>
      <c r="F89" s="240"/>
      <c r="G89" s="247">
        <v>4.2</v>
      </c>
      <c r="H89" s="241" t="str">
        <f t="shared" si="30"/>
        <v/>
      </c>
      <c r="I89" s="69"/>
    </row>
    <row r="90" spans="1:10" s="15" customFormat="1" ht="17.25" hidden="1" customHeight="1" outlineLevel="1">
      <c r="A90" s="8"/>
      <c r="B90" s="245" t="s">
        <v>489</v>
      </c>
      <c r="C90" s="246" t="s">
        <v>20</v>
      </c>
      <c r="D90" s="247"/>
      <c r="E90" s="13"/>
      <c r="F90" s="240"/>
      <c r="G90" s="247">
        <v>111.5</v>
      </c>
      <c r="H90" s="241" t="str">
        <f t="shared" si="30"/>
        <v/>
      </c>
      <c r="I90" s="69"/>
    </row>
    <row r="91" spans="1:10" s="237" customFormat="1" ht="17.25" hidden="1" customHeight="1" outlineLevel="1">
      <c r="A91" s="80" t="s">
        <v>19</v>
      </c>
      <c r="B91" s="242" t="s">
        <v>493</v>
      </c>
      <c r="C91" s="243" t="s">
        <v>20</v>
      </c>
      <c r="D91" s="244"/>
      <c r="E91" s="235"/>
      <c r="F91" s="238"/>
      <c r="G91" s="244">
        <v>0</v>
      </c>
      <c r="H91" s="239" t="str">
        <f t="shared" si="30"/>
        <v/>
      </c>
      <c r="I91" s="236"/>
    </row>
    <row r="92" spans="1:10" s="237" customFormat="1" ht="17.25" hidden="1" customHeight="1" outlineLevel="1">
      <c r="A92" s="80" t="s">
        <v>30</v>
      </c>
      <c r="B92" s="242" t="s">
        <v>494</v>
      </c>
      <c r="C92" s="243" t="s">
        <v>20</v>
      </c>
      <c r="D92" s="244"/>
      <c r="E92" s="235"/>
      <c r="F92" s="238"/>
      <c r="G92" s="244">
        <v>8.6999999999999993</v>
      </c>
      <c r="H92" s="239" t="str">
        <f t="shared" si="30"/>
        <v/>
      </c>
      <c r="I92" s="236"/>
    </row>
    <row r="93" spans="1:10" s="237" customFormat="1" ht="17.25" hidden="1" customHeight="1" outlineLevel="1">
      <c r="A93" s="80" t="s">
        <v>492</v>
      </c>
      <c r="B93" s="242" t="s">
        <v>495</v>
      </c>
      <c r="C93" s="243" t="s">
        <v>20</v>
      </c>
      <c r="D93" s="244"/>
      <c r="E93" s="235"/>
      <c r="F93" s="238"/>
      <c r="G93" s="244">
        <v>7</v>
      </c>
      <c r="H93" s="239" t="str">
        <f t="shared" si="30"/>
        <v/>
      </c>
      <c r="I93" s="236"/>
    </row>
    <row r="94" spans="1:10" s="15" customFormat="1" ht="31.2" collapsed="1">
      <c r="A94" s="8">
        <v>3</v>
      </c>
      <c r="B94" s="12" t="s">
        <v>178</v>
      </c>
      <c r="C94" s="8" t="s">
        <v>20</v>
      </c>
      <c r="D94" s="13">
        <f t="shared" ref="D94:G94" si="33">SUM(D95:D99)</f>
        <v>121.5</v>
      </c>
      <c r="E94" s="13">
        <f t="shared" si="33"/>
        <v>130.60000000000002</v>
      </c>
      <c r="F94" s="13">
        <f t="shared" si="33"/>
        <v>130</v>
      </c>
      <c r="G94" s="13">
        <f t="shared" si="33"/>
        <v>125.7</v>
      </c>
      <c r="H94" s="53">
        <f t="shared" si="30"/>
        <v>96.692307692307693</v>
      </c>
      <c r="I94" s="69"/>
      <c r="J94" s="73"/>
    </row>
    <row r="95" spans="1:10" ht="17.25" hidden="1" customHeight="1" outlineLevel="1">
      <c r="A95" s="1"/>
      <c r="B95" s="17" t="s">
        <v>173</v>
      </c>
      <c r="C95" s="1" t="s">
        <v>20</v>
      </c>
      <c r="D95" s="30">
        <v>18.5</v>
      </c>
      <c r="E95" s="30">
        <v>17</v>
      </c>
      <c r="F95" s="30">
        <v>17</v>
      </c>
      <c r="G95" s="30">
        <v>14</v>
      </c>
      <c r="H95" s="48">
        <f t="shared" si="30"/>
        <v>82.35294117647058</v>
      </c>
      <c r="I95" s="3"/>
    </row>
    <row r="96" spans="1:10" ht="17.25" hidden="1" customHeight="1" outlineLevel="1">
      <c r="A96" s="1"/>
      <c r="B96" s="17" t="s">
        <v>174</v>
      </c>
      <c r="C96" s="1" t="s">
        <v>20</v>
      </c>
      <c r="D96" s="30">
        <v>54.6</v>
      </c>
      <c r="E96" s="30">
        <v>61.9</v>
      </c>
      <c r="F96" s="30">
        <v>62</v>
      </c>
      <c r="G96" s="30">
        <f t="shared" ref="G96:G97" si="34">F96</f>
        <v>62</v>
      </c>
      <c r="H96" s="48">
        <f t="shared" si="30"/>
        <v>100</v>
      </c>
      <c r="I96" s="3"/>
    </row>
    <row r="97" spans="1:9" ht="17.25" hidden="1" customHeight="1" outlineLevel="1">
      <c r="A97" s="1"/>
      <c r="B97" s="17" t="s">
        <v>175</v>
      </c>
      <c r="C97" s="1" t="s">
        <v>20</v>
      </c>
      <c r="D97" s="30">
        <v>2</v>
      </c>
      <c r="E97" s="30">
        <v>2</v>
      </c>
      <c r="F97" s="30">
        <v>2</v>
      </c>
      <c r="G97" s="30">
        <f t="shared" si="34"/>
        <v>2</v>
      </c>
      <c r="H97" s="48">
        <f t="shared" si="30"/>
        <v>100</v>
      </c>
      <c r="I97" s="3"/>
    </row>
    <row r="98" spans="1:9" ht="17.25" hidden="1" customHeight="1" outlineLevel="1">
      <c r="A98" s="1"/>
      <c r="B98" s="17" t="s">
        <v>176</v>
      </c>
      <c r="C98" s="1" t="s">
        <v>20</v>
      </c>
      <c r="D98" s="30">
        <v>46.4</v>
      </c>
      <c r="E98" s="30">
        <v>30.4</v>
      </c>
      <c r="F98" s="30">
        <v>30</v>
      </c>
      <c r="G98" s="30">
        <v>28.4</v>
      </c>
      <c r="H98" s="48">
        <f t="shared" si="30"/>
        <v>94.666666666666671</v>
      </c>
      <c r="I98" s="3"/>
    </row>
    <row r="99" spans="1:9" ht="17.25" hidden="1" customHeight="1" outlineLevel="1">
      <c r="A99" s="1"/>
      <c r="B99" s="17" t="s">
        <v>177</v>
      </c>
      <c r="C99" s="1" t="s">
        <v>20</v>
      </c>
      <c r="D99" s="30"/>
      <c r="E99" s="30">
        <v>19.3</v>
      </c>
      <c r="F99" s="30">
        <v>19</v>
      </c>
      <c r="G99" s="30">
        <v>19.3</v>
      </c>
      <c r="H99" s="48">
        <f t="shared" si="30"/>
        <v>101.57894736842105</v>
      </c>
      <c r="I99" s="3"/>
    </row>
    <row r="100" spans="1:9" ht="18.75" customHeight="1" collapsed="1">
      <c r="A100" s="8" t="s">
        <v>25</v>
      </c>
      <c r="B100" s="12" t="s">
        <v>48</v>
      </c>
      <c r="C100" s="1"/>
      <c r="D100" s="25"/>
      <c r="E100" s="30"/>
      <c r="F100" s="30"/>
      <c r="G100" s="30"/>
      <c r="H100" s="53" t="str">
        <f t="shared" si="30"/>
        <v/>
      </c>
      <c r="I100" s="3"/>
    </row>
    <row r="101" spans="1:9" ht="18.75" customHeight="1">
      <c r="A101" s="8">
        <v>1</v>
      </c>
      <c r="B101" s="12" t="s">
        <v>198</v>
      </c>
      <c r="C101" s="8" t="s">
        <v>31</v>
      </c>
      <c r="D101" s="24">
        <f>SUM(D102:D104)</f>
        <v>20219</v>
      </c>
      <c r="E101" s="24">
        <f t="shared" ref="E101:G101" si="35">SUM(E102:E104)</f>
        <v>18350</v>
      </c>
      <c r="F101" s="24">
        <f t="shared" si="35"/>
        <v>20650</v>
      </c>
      <c r="G101" s="24">
        <f t="shared" si="35"/>
        <v>20195</v>
      </c>
      <c r="H101" s="53">
        <f t="shared" si="30"/>
        <v>97.79661016949153</v>
      </c>
      <c r="I101" s="69"/>
    </row>
    <row r="102" spans="1:9" ht="18.75" customHeight="1">
      <c r="A102" s="1"/>
      <c r="B102" s="17" t="s">
        <v>117</v>
      </c>
      <c r="C102" s="1" t="s">
        <v>31</v>
      </c>
      <c r="D102" s="26">
        <v>2461</v>
      </c>
      <c r="E102" s="26">
        <v>2550</v>
      </c>
      <c r="F102" s="26">
        <v>2650</v>
      </c>
      <c r="G102" s="26">
        <v>2536</v>
      </c>
      <c r="H102" s="48">
        <f>IFERROR(G102/F102%,"")</f>
        <v>95.698113207547166</v>
      </c>
      <c r="I102" s="3"/>
    </row>
    <row r="103" spans="1:9" ht="18.75" customHeight="1">
      <c r="A103" s="1"/>
      <c r="B103" s="17" t="s">
        <v>118</v>
      </c>
      <c r="C103" s="1" t="s">
        <v>31</v>
      </c>
      <c r="D103" s="26">
        <v>4034</v>
      </c>
      <c r="E103" s="26">
        <v>4800</v>
      </c>
      <c r="F103" s="26">
        <v>5000</v>
      </c>
      <c r="G103" s="26">
        <v>5086</v>
      </c>
      <c r="H103" s="48">
        <f t="shared" si="30"/>
        <v>101.72</v>
      </c>
      <c r="I103" s="3"/>
    </row>
    <row r="104" spans="1:9" ht="18.75" customHeight="1">
      <c r="A104" s="1"/>
      <c r="B104" s="17" t="s">
        <v>119</v>
      </c>
      <c r="C104" s="1" t="s">
        <v>31</v>
      </c>
      <c r="D104" s="26">
        <v>13724</v>
      </c>
      <c r="E104" s="26">
        <v>11000</v>
      </c>
      <c r="F104" s="26">
        <v>13000</v>
      </c>
      <c r="G104" s="26">
        <v>12573</v>
      </c>
      <c r="H104" s="48">
        <f t="shared" si="30"/>
        <v>96.715384615384622</v>
      </c>
      <c r="I104" s="3"/>
    </row>
    <row r="105" spans="1:9" ht="18.75" customHeight="1">
      <c r="A105" s="8">
        <v>2</v>
      </c>
      <c r="B105" s="36" t="s">
        <v>15</v>
      </c>
      <c r="C105" s="8" t="s">
        <v>31</v>
      </c>
      <c r="D105" s="24">
        <v>77894</v>
      </c>
      <c r="E105" s="24">
        <v>87000</v>
      </c>
      <c r="F105" s="24">
        <v>87000</v>
      </c>
      <c r="G105" s="24">
        <v>84800</v>
      </c>
      <c r="H105" s="53">
        <f t="shared" si="30"/>
        <v>97.47126436781609</v>
      </c>
      <c r="I105" s="69"/>
    </row>
    <row r="106" spans="1:9" s="15" customFormat="1" ht="18.75" customHeight="1">
      <c r="A106" s="8" t="s">
        <v>26</v>
      </c>
      <c r="B106" s="36" t="s">
        <v>120</v>
      </c>
      <c r="C106" s="8"/>
      <c r="D106" s="24"/>
      <c r="E106" s="24"/>
      <c r="F106" s="24"/>
      <c r="G106" s="24"/>
      <c r="H106" s="53" t="str">
        <f t="shared" si="30"/>
        <v/>
      </c>
      <c r="I106" s="69"/>
    </row>
    <row r="107" spans="1:9" ht="18.75" customHeight="1">
      <c r="A107" s="1">
        <v>1</v>
      </c>
      <c r="B107" s="29" t="s">
        <v>121</v>
      </c>
      <c r="C107" s="1" t="s">
        <v>20</v>
      </c>
      <c r="D107" s="25">
        <v>85</v>
      </c>
      <c r="E107" s="25">
        <v>85.5</v>
      </c>
      <c r="F107" s="25">
        <v>85.5</v>
      </c>
      <c r="G107" s="25">
        <v>89.100000000000009</v>
      </c>
      <c r="H107" s="48">
        <f t="shared" si="30"/>
        <v>104.21052631578948</v>
      </c>
      <c r="I107" s="3"/>
    </row>
    <row r="108" spans="1:9" ht="18.75" customHeight="1">
      <c r="A108" s="1">
        <v>2</v>
      </c>
      <c r="B108" s="29" t="s">
        <v>122</v>
      </c>
      <c r="C108" s="1" t="s">
        <v>47</v>
      </c>
      <c r="D108" s="26">
        <f t="shared" ref="D108:G108" si="36">D109+D110</f>
        <v>427.4</v>
      </c>
      <c r="E108" s="26">
        <f t="shared" si="36"/>
        <v>320</v>
      </c>
      <c r="F108" s="26">
        <f t="shared" si="36"/>
        <v>335</v>
      </c>
      <c r="G108" s="26">
        <f t="shared" si="36"/>
        <v>184</v>
      </c>
      <c r="H108" s="48">
        <f t="shared" si="30"/>
        <v>54.925373134328353</v>
      </c>
      <c r="I108" s="3"/>
    </row>
    <row r="109" spans="1:9" ht="18.75" customHeight="1">
      <c r="A109" s="1"/>
      <c r="B109" s="38" t="s">
        <v>123</v>
      </c>
      <c r="C109" s="1" t="s">
        <v>47</v>
      </c>
      <c r="D109" s="26">
        <v>211.9</v>
      </c>
      <c r="E109" s="26">
        <v>210</v>
      </c>
      <c r="F109" s="26">
        <v>210</v>
      </c>
      <c r="G109" s="26">
        <v>120</v>
      </c>
      <c r="H109" s="48">
        <f t="shared" si="30"/>
        <v>57.142857142857139</v>
      </c>
      <c r="I109" s="3"/>
    </row>
    <row r="110" spans="1:9" ht="18.75" customHeight="1">
      <c r="A110" s="1"/>
      <c r="B110" s="38" t="s">
        <v>124</v>
      </c>
      <c r="C110" s="1" t="s">
        <v>47</v>
      </c>
      <c r="D110" s="26">
        <v>215.5</v>
      </c>
      <c r="E110" s="26">
        <v>110</v>
      </c>
      <c r="F110" s="26">
        <v>125</v>
      </c>
      <c r="G110" s="26">
        <v>64</v>
      </c>
      <c r="H110" s="48">
        <f t="shared" si="30"/>
        <v>51.2</v>
      </c>
      <c r="I110" s="3"/>
    </row>
    <row r="111" spans="1:9">
      <c r="A111" s="39" t="s">
        <v>28</v>
      </c>
      <c r="B111" s="40" t="s">
        <v>49</v>
      </c>
      <c r="C111" s="39"/>
      <c r="D111" s="10"/>
      <c r="E111" s="10"/>
      <c r="F111" s="10"/>
      <c r="G111" s="10"/>
      <c r="H111" s="53" t="str">
        <f t="shared" si="30"/>
        <v/>
      </c>
      <c r="I111" s="3"/>
    </row>
    <row r="112" spans="1:9" ht="19.5" customHeight="1">
      <c r="A112" s="41"/>
      <c r="B112" s="42" t="s">
        <v>125</v>
      </c>
      <c r="C112" s="1" t="s">
        <v>20</v>
      </c>
      <c r="D112" s="43">
        <v>500.3</v>
      </c>
      <c r="E112" s="43">
        <v>4</v>
      </c>
      <c r="F112" s="43"/>
      <c r="G112" s="43">
        <v>54</v>
      </c>
      <c r="H112" s="48" t="str">
        <f t="shared" si="30"/>
        <v/>
      </c>
      <c r="I112" s="3"/>
    </row>
    <row r="113" spans="1:10" ht="19.5" customHeight="1">
      <c r="A113" s="41"/>
      <c r="B113" s="29" t="s">
        <v>463</v>
      </c>
      <c r="C113" s="1" t="s">
        <v>20</v>
      </c>
      <c r="D113" s="43">
        <v>50870.31</v>
      </c>
      <c r="E113" s="43">
        <v>50870.31</v>
      </c>
      <c r="F113" s="43">
        <v>50870.31</v>
      </c>
      <c r="G113" s="43">
        <v>50870.31</v>
      </c>
      <c r="H113" s="48">
        <f t="shared" si="30"/>
        <v>100</v>
      </c>
      <c r="I113" s="3"/>
    </row>
    <row r="114" spans="1:10" ht="19.5" customHeight="1">
      <c r="A114" s="41"/>
      <c r="B114" s="29" t="s">
        <v>464</v>
      </c>
      <c r="C114" s="1" t="s">
        <v>20</v>
      </c>
      <c r="D114" s="43"/>
      <c r="E114" s="43">
        <v>15886.3</v>
      </c>
      <c r="F114" s="43">
        <v>15886</v>
      </c>
      <c r="G114" s="43">
        <v>15886</v>
      </c>
      <c r="H114" s="48">
        <f t="shared" si="30"/>
        <v>99.999999999999986</v>
      </c>
      <c r="I114" s="3"/>
    </row>
    <row r="115" spans="1:10" ht="19.5" customHeight="1">
      <c r="A115" s="41"/>
      <c r="B115" s="42" t="s">
        <v>462</v>
      </c>
      <c r="C115" s="1" t="s">
        <v>16</v>
      </c>
      <c r="D115" s="214">
        <v>31.37</v>
      </c>
      <c r="E115" s="229">
        <f>E114/50640%</f>
        <v>31.37105055292259</v>
      </c>
      <c r="F115" s="229">
        <f t="shared" ref="F115:G115" si="37">F114/50640%</f>
        <v>31.370458135860982</v>
      </c>
      <c r="G115" s="229">
        <f t="shared" si="37"/>
        <v>31.370458135860982</v>
      </c>
      <c r="H115" s="48">
        <f t="shared" si="30"/>
        <v>99.999999999999986</v>
      </c>
      <c r="I115" s="3"/>
    </row>
    <row r="116" spans="1:10" s="15" customFormat="1" ht="17.25" customHeight="1">
      <c r="A116" s="8">
        <v>1</v>
      </c>
      <c r="B116" s="12" t="s">
        <v>14</v>
      </c>
      <c r="C116" s="8" t="s">
        <v>20</v>
      </c>
      <c r="D116" s="13">
        <v>1646</v>
      </c>
      <c r="E116" s="13">
        <f>D116+E117</f>
        <v>1675</v>
      </c>
      <c r="F116" s="13">
        <f>E116+F117</f>
        <v>1710</v>
      </c>
      <c r="G116" s="13">
        <f>E116+G117-G118</f>
        <v>1725</v>
      </c>
      <c r="H116" s="53">
        <f t="shared" si="30"/>
        <v>100.87719298245614</v>
      </c>
      <c r="I116" s="69"/>
      <c r="J116" s="73"/>
    </row>
    <row r="117" spans="1:10" ht="17.25" customHeight="1">
      <c r="A117" s="1"/>
      <c r="B117" s="17" t="s">
        <v>53</v>
      </c>
      <c r="C117" s="1" t="s">
        <v>20</v>
      </c>
      <c r="D117" s="19">
        <v>57.2</v>
      </c>
      <c r="E117" s="19">
        <v>29</v>
      </c>
      <c r="F117" s="19">
        <v>35</v>
      </c>
      <c r="G117" s="19">
        <v>54</v>
      </c>
      <c r="H117" s="48">
        <f t="shared" si="30"/>
        <v>154.28571428571431</v>
      </c>
      <c r="I117" s="3"/>
    </row>
    <row r="118" spans="1:10" ht="17.25" customHeight="1">
      <c r="A118" s="1"/>
      <c r="B118" s="17" t="s">
        <v>116</v>
      </c>
      <c r="C118" s="1" t="s">
        <v>20</v>
      </c>
      <c r="D118" s="30"/>
      <c r="E118" s="30"/>
      <c r="F118" s="30"/>
      <c r="G118" s="30">
        <v>4</v>
      </c>
      <c r="H118" s="48"/>
      <c r="I118" s="3"/>
    </row>
    <row r="119" spans="1:10" s="15" customFormat="1">
      <c r="A119" s="8" t="s">
        <v>76</v>
      </c>
      <c r="B119" s="44" t="s">
        <v>80</v>
      </c>
      <c r="C119" s="8"/>
      <c r="D119" s="126"/>
      <c r="E119" s="126"/>
      <c r="F119" s="126"/>
      <c r="G119" s="126"/>
      <c r="H119" s="53" t="str">
        <f t="shared" si="30"/>
        <v/>
      </c>
      <c r="I119" s="53"/>
    </row>
    <row r="120" spans="1:10" ht="22.5" customHeight="1">
      <c r="A120" s="8">
        <v>1</v>
      </c>
      <c r="B120" s="44" t="s">
        <v>200</v>
      </c>
      <c r="C120" s="8" t="s">
        <v>126</v>
      </c>
      <c r="D120" s="24">
        <v>676693</v>
      </c>
      <c r="E120" s="24">
        <v>708000</v>
      </c>
      <c r="F120" s="24">
        <v>722000</v>
      </c>
      <c r="G120" s="24">
        <v>508000</v>
      </c>
      <c r="H120" s="53">
        <f t="shared" si="30"/>
        <v>70.360110803324105</v>
      </c>
      <c r="I120" s="69"/>
    </row>
    <row r="121" spans="1:10" ht="20.25" customHeight="1">
      <c r="A121" s="1">
        <v>2</v>
      </c>
      <c r="B121" s="17" t="s">
        <v>128</v>
      </c>
      <c r="C121" s="1"/>
      <c r="D121" s="10"/>
      <c r="E121" s="10"/>
      <c r="F121" s="10"/>
      <c r="G121" s="126"/>
      <c r="H121" s="48" t="str">
        <f t="shared" si="30"/>
        <v/>
      </c>
      <c r="I121" s="3"/>
    </row>
    <row r="122" spans="1:10" ht="20.25" customHeight="1">
      <c r="A122" s="1"/>
      <c r="B122" s="17" t="s">
        <v>129</v>
      </c>
      <c r="C122" s="1" t="s">
        <v>40</v>
      </c>
      <c r="D122" s="26">
        <v>40</v>
      </c>
      <c r="E122" s="26">
        <v>42</v>
      </c>
      <c r="F122" s="26">
        <v>40</v>
      </c>
      <c r="G122" s="26">
        <v>30</v>
      </c>
      <c r="H122" s="48">
        <f t="shared" si="30"/>
        <v>75</v>
      </c>
      <c r="I122" s="3"/>
    </row>
    <row r="123" spans="1:10" ht="20.25" customHeight="1">
      <c r="A123" s="1"/>
      <c r="B123" s="17" t="s">
        <v>135</v>
      </c>
      <c r="C123" s="1" t="s">
        <v>40</v>
      </c>
      <c r="D123" s="26">
        <v>35</v>
      </c>
      <c r="E123" s="26">
        <v>30</v>
      </c>
      <c r="F123" s="26">
        <v>40</v>
      </c>
      <c r="G123" s="26">
        <v>32</v>
      </c>
      <c r="H123" s="48">
        <f t="shared" si="30"/>
        <v>80</v>
      </c>
      <c r="I123" s="3"/>
    </row>
    <row r="124" spans="1:10" ht="20.25" customHeight="1">
      <c r="A124" s="1"/>
      <c r="B124" s="17" t="s">
        <v>130</v>
      </c>
      <c r="C124" s="1" t="s">
        <v>47</v>
      </c>
      <c r="D124" s="26">
        <v>57219</v>
      </c>
      <c r="E124" s="26">
        <v>60000</v>
      </c>
      <c r="F124" s="26">
        <v>55000</v>
      </c>
      <c r="G124" s="26">
        <v>29000</v>
      </c>
      <c r="H124" s="48">
        <f t="shared" si="30"/>
        <v>52.727272727272727</v>
      </c>
      <c r="I124" s="3"/>
    </row>
    <row r="125" spans="1:10" ht="20.25" customHeight="1">
      <c r="A125" s="1"/>
      <c r="B125" s="17" t="s">
        <v>131</v>
      </c>
      <c r="C125" s="1" t="s">
        <v>47</v>
      </c>
      <c r="D125" s="26">
        <v>12363</v>
      </c>
      <c r="E125" s="26">
        <v>13000</v>
      </c>
      <c r="F125" s="26">
        <v>12000</v>
      </c>
      <c r="G125" s="26">
        <v>4950</v>
      </c>
      <c r="H125" s="48">
        <f t="shared" si="30"/>
        <v>41.25</v>
      </c>
      <c r="I125" s="3"/>
    </row>
    <row r="126" spans="1:10" ht="20.25" customHeight="1">
      <c r="A126" s="1"/>
      <c r="B126" s="17" t="s">
        <v>132</v>
      </c>
      <c r="C126" s="1" t="s">
        <v>217</v>
      </c>
      <c r="D126" s="26">
        <v>39713</v>
      </c>
      <c r="E126" s="26">
        <v>41000</v>
      </c>
      <c r="F126" s="26">
        <v>60000</v>
      </c>
      <c r="G126" s="26"/>
      <c r="H126" s="48">
        <f t="shared" si="30"/>
        <v>0</v>
      </c>
      <c r="I126" s="3"/>
    </row>
    <row r="127" spans="1:10" ht="20.25" customHeight="1">
      <c r="A127" s="1"/>
      <c r="B127" s="17" t="s">
        <v>133</v>
      </c>
      <c r="C127" s="1" t="s">
        <v>217</v>
      </c>
      <c r="D127" s="26">
        <v>34500</v>
      </c>
      <c r="E127" s="26">
        <v>35000</v>
      </c>
      <c r="F127" s="26">
        <v>54000</v>
      </c>
      <c r="G127" s="26"/>
      <c r="H127" s="48">
        <f t="shared" si="30"/>
        <v>0</v>
      </c>
      <c r="I127" s="3"/>
    </row>
    <row r="128" spans="1:10" s="15" customFormat="1" ht="17.25" customHeight="1">
      <c r="A128" s="8" t="s">
        <v>79</v>
      </c>
      <c r="B128" s="12" t="s">
        <v>201</v>
      </c>
      <c r="C128" s="8"/>
      <c r="D128" s="26"/>
      <c r="E128" s="26"/>
      <c r="F128" s="26"/>
      <c r="G128" s="26"/>
      <c r="H128" s="53" t="str">
        <f t="shared" si="30"/>
        <v/>
      </c>
      <c r="I128" s="53"/>
    </row>
    <row r="129" spans="1:11" ht="22.5" customHeight="1">
      <c r="A129" s="1">
        <v>1</v>
      </c>
      <c r="B129" s="17" t="s">
        <v>81</v>
      </c>
      <c r="C129" s="1" t="s">
        <v>126</v>
      </c>
      <c r="D129" s="26">
        <v>560310</v>
      </c>
      <c r="E129" s="26">
        <v>595000</v>
      </c>
      <c r="F129" s="26">
        <v>696000</v>
      </c>
      <c r="G129" s="26">
        <v>450000</v>
      </c>
      <c r="H129" s="48">
        <f t="shared" si="30"/>
        <v>64.65517241379311</v>
      </c>
      <c r="I129" s="3"/>
    </row>
    <row r="130" spans="1:11" ht="19.5" customHeight="1">
      <c r="A130" s="84"/>
      <c r="B130" s="105" t="s">
        <v>205</v>
      </c>
      <c r="C130" s="84"/>
      <c r="D130" s="86"/>
      <c r="E130" s="86"/>
      <c r="F130" s="86"/>
      <c r="G130" s="86"/>
      <c r="H130" s="106" t="str">
        <f t="shared" si="30"/>
        <v/>
      </c>
      <c r="I130" s="3"/>
    </row>
    <row r="131" spans="1:11" s="15" customFormat="1" ht="22.5" customHeight="1">
      <c r="A131" s="8" t="s">
        <v>21</v>
      </c>
      <c r="B131" s="12" t="s">
        <v>147</v>
      </c>
      <c r="C131" s="8"/>
      <c r="D131" s="126"/>
      <c r="E131" s="126"/>
      <c r="F131" s="126"/>
      <c r="G131" s="126"/>
      <c r="H131" s="53" t="str">
        <f t="shared" si="30"/>
        <v/>
      </c>
      <c r="I131" s="69"/>
    </row>
    <row r="132" spans="1:11" ht="22.5" hidden="1" customHeight="1" outlineLevel="1">
      <c r="A132" s="1">
        <v>1</v>
      </c>
      <c r="B132" s="17" t="s">
        <v>148</v>
      </c>
      <c r="C132" s="1" t="s">
        <v>38</v>
      </c>
      <c r="D132" s="26">
        <v>10520</v>
      </c>
      <c r="E132" s="26">
        <f>D133</f>
        <v>10685</v>
      </c>
      <c r="F132" s="26">
        <f>E133</f>
        <v>11308</v>
      </c>
      <c r="G132" s="26">
        <f>E133</f>
        <v>11308</v>
      </c>
      <c r="H132" s="48">
        <f t="shared" si="30"/>
        <v>100</v>
      </c>
      <c r="I132" s="3"/>
    </row>
    <row r="133" spans="1:11" ht="22.5" hidden="1" customHeight="1" outlineLevel="1">
      <c r="A133" s="1">
        <v>2</v>
      </c>
      <c r="B133" s="17" t="s">
        <v>101</v>
      </c>
      <c r="C133" s="1" t="s">
        <v>38</v>
      </c>
      <c r="D133" s="26">
        <v>10685</v>
      </c>
      <c r="E133" s="26">
        <v>11308</v>
      </c>
      <c r="F133" s="26">
        <f>F132+630</f>
        <v>11938</v>
      </c>
      <c r="G133" s="26">
        <v>11350</v>
      </c>
      <c r="H133" s="48">
        <f t="shared" si="30"/>
        <v>95.074551851231362</v>
      </c>
      <c r="I133" s="3"/>
      <c r="J133" s="63"/>
    </row>
    <row r="134" spans="1:11" ht="22.5" customHeight="1" collapsed="1">
      <c r="A134" s="1">
        <v>1</v>
      </c>
      <c r="B134" s="17" t="s">
        <v>58</v>
      </c>
      <c r="C134" s="1" t="s">
        <v>45</v>
      </c>
      <c r="D134" s="26">
        <v>44006</v>
      </c>
      <c r="E134" s="26">
        <f>D135</f>
        <v>45290</v>
      </c>
      <c r="F134" s="26">
        <f>E135</f>
        <v>46365</v>
      </c>
      <c r="G134" s="26">
        <f>E135</f>
        <v>46365</v>
      </c>
      <c r="H134" s="48">
        <f t="shared" si="30"/>
        <v>100</v>
      </c>
      <c r="I134" s="3"/>
      <c r="J134" s="63"/>
    </row>
    <row r="135" spans="1:11" ht="22.5" customHeight="1">
      <c r="A135" s="1">
        <v>2</v>
      </c>
      <c r="B135" s="17" t="s">
        <v>59</v>
      </c>
      <c r="C135" s="1" t="s">
        <v>45</v>
      </c>
      <c r="D135" s="26">
        <v>45290</v>
      </c>
      <c r="E135" s="26">
        <v>46365</v>
      </c>
      <c r="F135" s="26">
        <v>47500</v>
      </c>
      <c r="G135" s="26">
        <f>G134+946</f>
        <v>47311</v>
      </c>
      <c r="H135" s="48">
        <f t="shared" si="30"/>
        <v>99.602105263157895</v>
      </c>
      <c r="I135" s="3"/>
      <c r="J135" s="63"/>
      <c r="K135" s="63"/>
    </row>
    <row r="136" spans="1:11" ht="22.5" customHeight="1">
      <c r="A136" s="1">
        <v>3</v>
      </c>
      <c r="B136" s="17" t="s">
        <v>134</v>
      </c>
      <c r="C136" s="1" t="s">
        <v>45</v>
      </c>
      <c r="D136" s="26">
        <f t="shared" ref="D136:F136" si="38">(D134+D135)/2</f>
        <v>44648</v>
      </c>
      <c r="E136" s="26">
        <f t="shared" si="38"/>
        <v>45827.5</v>
      </c>
      <c r="F136" s="26">
        <f t="shared" si="38"/>
        <v>46932.5</v>
      </c>
      <c r="G136" s="26">
        <f>(G134+G135)/2</f>
        <v>46838</v>
      </c>
      <c r="H136" s="48">
        <f t="shared" ref="H136:H199" si="39">IFERROR(G136/F136%,"")</f>
        <v>99.79864699302189</v>
      </c>
      <c r="I136" s="3"/>
      <c r="J136" s="63"/>
      <c r="K136" s="63"/>
    </row>
    <row r="137" spans="1:11" ht="22.5" customHeight="1">
      <c r="A137" s="1">
        <v>4</v>
      </c>
      <c r="B137" s="38" t="s">
        <v>160</v>
      </c>
      <c r="C137" s="18" t="s">
        <v>70</v>
      </c>
      <c r="D137" s="61">
        <v>22.62</v>
      </c>
      <c r="E137" s="61">
        <v>22.92</v>
      </c>
      <c r="F137" s="61">
        <v>22</v>
      </c>
      <c r="G137" s="61">
        <v>22</v>
      </c>
      <c r="H137" s="48">
        <f t="shared" si="39"/>
        <v>100</v>
      </c>
      <c r="I137" s="3"/>
    </row>
    <row r="138" spans="1:11" s="15" customFormat="1" ht="21" customHeight="1">
      <c r="A138" s="8" t="s">
        <v>22</v>
      </c>
      <c r="B138" s="12" t="s">
        <v>66</v>
      </c>
      <c r="C138" s="8"/>
      <c r="D138" s="47"/>
      <c r="E138" s="47"/>
      <c r="F138" s="47"/>
      <c r="G138" s="47"/>
      <c r="H138" s="53" t="str">
        <f t="shared" si="39"/>
        <v/>
      </c>
      <c r="I138" s="69"/>
    </row>
    <row r="139" spans="1:11" ht="21" customHeight="1">
      <c r="A139" s="1">
        <v>1</v>
      </c>
      <c r="B139" s="17" t="s">
        <v>161</v>
      </c>
      <c r="C139" s="1" t="s">
        <v>16</v>
      </c>
      <c r="D139" s="48">
        <v>42.86</v>
      </c>
      <c r="E139" s="48">
        <v>43</v>
      </c>
      <c r="F139" s="48">
        <v>44</v>
      </c>
      <c r="G139" s="48"/>
      <c r="H139" s="48">
        <f t="shared" si="39"/>
        <v>0</v>
      </c>
      <c r="I139" s="3"/>
    </row>
    <row r="140" spans="1:11" ht="21" customHeight="1">
      <c r="A140" s="1"/>
      <c r="B140" s="17" t="s">
        <v>162</v>
      </c>
      <c r="C140" s="1" t="s">
        <v>16</v>
      </c>
      <c r="D140" s="48">
        <v>32</v>
      </c>
      <c r="E140" s="48">
        <v>35</v>
      </c>
      <c r="F140" s="48">
        <v>36</v>
      </c>
      <c r="G140" s="48"/>
      <c r="H140" s="48">
        <f t="shared" si="39"/>
        <v>0</v>
      </c>
      <c r="I140" s="3"/>
    </row>
    <row r="141" spans="1:11" ht="46.8">
      <c r="A141" s="1">
        <v>2</v>
      </c>
      <c r="B141" s="17" t="s">
        <v>152</v>
      </c>
      <c r="C141" s="1" t="s">
        <v>51</v>
      </c>
      <c r="D141" s="49">
        <f>174+50</f>
        <v>224</v>
      </c>
      <c r="E141" s="49">
        <v>175</v>
      </c>
      <c r="F141" s="49">
        <v>250</v>
      </c>
      <c r="G141" s="49"/>
      <c r="H141" s="48">
        <f t="shared" si="39"/>
        <v>0</v>
      </c>
      <c r="I141" s="3"/>
    </row>
    <row r="142" spans="1:11" ht="30.75" customHeight="1">
      <c r="A142" s="1"/>
      <c r="B142" s="17" t="s">
        <v>164</v>
      </c>
      <c r="C142" s="1" t="s">
        <v>165</v>
      </c>
      <c r="D142" s="17">
        <v>111</v>
      </c>
      <c r="E142" s="17">
        <v>115</v>
      </c>
      <c r="F142" s="17">
        <v>120</v>
      </c>
      <c r="G142" s="17"/>
      <c r="H142" s="48">
        <f t="shared" si="39"/>
        <v>0</v>
      </c>
      <c r="I142" s="3"/>
    </row>
    <row r="143" spans="1:11" ht="21" customHeight="1">
      <c r="A143" s="8" t="s">
        <v>25</v>
      </c>
      <c r="B143" s="12" t="s">
        <v>108</v>
      </c>
      <c r="C143" s="1"/>
      <c r="D143" s="49"/>
      <c r="E143" s="49"/>
      <c r="F143" s="49"/>
      <c r="G143" s="49"/>
      <c r="H143" s="53" t="str">
        <f t="shared" si="39"/>
        <v/>
      </c>
      <c r="I143" s="3"/>
    </row>
    <row r="144" spans="1:11" ht="29.25" customHeight="1">
      <c r="A144" s="50">
        <v>1</v>
      </c>
      <c r="B144" s="51" t="s">
        <v>150</v>
      </c>
      <c r="C144" s="1" t="s">
        <v>16</v>
      </c>
      <c r="D144" s="54" t="s">
        <v>153</v>
      </c>
      <c r="E144" s="74">
        <f>D145-E145</f>
        <v>3.1799999999999997</v>
      </c>
      <c r="F144" s="54">
        <v>3</v>
      </c>
      <c r="G144" s="54"/>
      <c r="H144" s="48">
        <f t="shared" si="39"/>
        <v>0</v>
      </c>
      <c r="I144" s="3"/>
    </row>
    <row r="145" spans="1:10" ht="21" customHeight="1">
      <c r="A145" s="50">
        <v>2</v>
      </c>
      <c r="B145" s="51" t="s">
        <v>163</v>
      </c>
      <c r="C145" s="1" t="s">
        <v>16</v>
      </c>
      <c r="D145" s="66">
        <v>17.32</v>
      </c>
      <c r="E145" s="66">
        <v>14.14</v>
      </c>
      <c r="F145" s="66">
        <f>E145-3</f>
        <v>11.14</v>
      </c>
      <c r="G145" s="66"/>
      <c r="H145" s="48">
        <f t="shared" si="39"/>
        <v>0</v>
      </c>
      <c r="I145" s="3"/>
      <c r="J145" s="75"/>
    </row>
    <row r="146" spans="1:10" s="15" customFormat="1" ht="20.25" customHeight="1">
      <c r="A146" s="8" t="s">
        <v>26</v>
      </c>
      <c r="B146" s="12" t="s">
        <v>0</v>
      </c>
      <c r="C146" s="8"/>
      <c r="D146" s="126"/>
      <c r="E146" s="126"/>
      <c r="F146" s="126"/>
      <c r="G146" s="126"/>
      <c r="H146" s="53" t="str">
        <f t="shared" si="39"/>
        <v/>
      </c>
      <c r="I146" s="69"/>
    </row>
    <row r="147" spans="1:10" ht="23.25" customHeight="1">
      <c r="A147" s="1">
        <v>1</v>
      </c>
      <c r="B147" s="17" t="s">
        <v>157</v>
      </c>
      <c r="C147" s="1" t="s">
        <v>1</v>
      </c>
      <c r="D147" s="26">
        <f>SUM(D148:D154)</f>
        <v>13999</v>
      </c>
      <c r="E147" s="26">
        <f>SUM(E148:E154)</f>
        <v>14102</v>
      </c>
      <c r="F147" s="26">
        <f>F148+F152+F153+F154</f>
        <v>14530</v>
      </c>
      <c r="G147" s="26">
        <f t="shared" ref="G147" si="40">G148+G152+G153+G154</f>
        <v>14689</v>
      </c>
      <c r="H147" s="48">
        <f t="shared" si="39"/>
        <v>101.0942876806607</v>
      </c>
      <c r="I147" s="3"/>
    </row>
    <row r="148" spans="1:10" ht="21" customHeight="1">
      <c r="A148" s="1" t="s">
        <v>308</v>
      </c>
      <c r="B148" s="17" t="s">
        <v>83</v>
      </c>
      <c r="C148" s="1" t="s">
        <v>1</v>
      </c>
      <c r="D148" s="76">
        <v>4325</v>
      </c>
      <c r="E148" s="76">
        <v>4401</v>
      </c>
      <c r="F148" s="76">
        <f>F149+F151</f>
        <v>4430</v>
      </c>
      <c r="G148" s="76">
        <f>G149+G151</f>
        <v>4293</v>
      </c>
      <c r="H148" s="48">
        <f t="shared" si="39"/>
        <v>96.907449209932281</v>
      </c>
      <c r="I148" s="3"/>
      <c r="J148" s="67"/>
    </row>
    <row r="149" spans="1:10" s="34" customFormat="1" ht="21" hidden="1" customHeight="1" outlineLevel="1">
      <c r="A149" s="31"/>
      <c r="B149" s="17" t="s">
        <v>458</v>
      </c>
      <c r="C149" s="1" t="s">
        <v>2</v>
      </c>
      <c r="D149" s="77"/>
      <c r="E149" s="76"/>
      <c r="F149" s="76">
        <v>450</v>
      </c>
      <c r="G149" s="76">
        <v>363</v>
      </c>
      <c r="H149" s="48">
        <f t="shared" si="39"/>
        <v>80.666666666666671</v>
      </c>
      <c r="I149" s="70"/>
      <c r="J149" s="68"/>
    </row>
    <row r="150" spans="1:10" s="34" customFormat="1" ht="21" hidden="1" customHeight="1" outlineLevel="1">
      <c r="A150" s="31"/>
      <c r="B150" s="17" t="s">
        <v>459</v>
      </c>
      <c r="C150" s="1" t="s">
        <v>2</v>
      </c>
      <c r="D150" s="77"/>
      <c r="E150" s="76"/>
      <c r="F150" s="76">
        <v>350</v>
      </c>
      <c r="G150" s="76"/>
      <c r="H150" s="48">
        <f t="shared" si="39"/>
        <v>0</v>
      </c>
      <c r="I150" s="70"/>
      <c r="J150" s="68"/>
    </row>
    <row r="151" spans="1:10" s="34" customFormat="1" ht="21" hidden="1" customHeight="1" outlineLevel="1">
      <c r="A151" s="31" t="s">
        <v>308</v>
      </c>
      <c r="B151" s="17" t="s">
        <v>85</v>
      </c>
      <c r="C151" s="1" t="s">
        <v>2</v>
      </c>
      <c r="D151" s="77"/>
      <c r="E151" s="76"/>
      <c r="F151" s="76">
        <v>3980</v>
      </c>
      <c r="G151" s="76">
        <v>3930</v>
      </c>
      <c r="H151" s="48">
        <f t="shared" si="39"/>
        <v>98.743718592964825</v>
      </c>
      <c r="I151" s="70"/>
      <c r="J151" s="68"/>
    </row>
    <row r="152" spans="1:10" ht="21" customHeight="1" collapsed="1">
      <c r="A152" s="1" t="s">
        <v>308</v>
      </c>
      <c r="B152" s="17" t="s">
        <v>104</v>
      </c>
      <c r="C152" s="1" t="s">
        <v>1</v>
      </c>
      <c r="D152" s="76">
        <v>5412</v>
      </c>
      <c r="E152" s="76">
        <v>5400</v>
      </c>
      <c r="F152" s="76">
        <v>5700</v>
      </c>
      <c r="G152" s="76">
        <v>6027</v>
      </c>
      <c r="H152" s="48">
        <f t="shared" si="39"/>
        <v>105.73684210526316</v>
      </c>
      <c r="I152" s="3"/>
      <c r="J152" s="67"/>
    </row>
    <row r="153" spans="1:10" ht="21" customHeight="1">
      <c r="A153" s="1" t="s">
        <v>308</v>
      </c>
      <c r="B153" s="17" t="s">
        <v>105</v>
      </c>
      <c r="C153" s="1" t="s">
        <v>1</v>
      </c>
      <c r="D153" s="76">
        <v>3521</v>
      </c>
      <c r="E153" s="76">
        <v>3560</v>
      </c>
      <c r="F153" s="76">
        <v>3570</v>
      </c>
      <c r="G153" s="76">
        <v>3562</v>
      </c>
      <c r="H153" s="48">
        <f t="shared" si="39"/>
        <v>99.775910364145645</v>
      </c>
      <c r="I153" s="3"/>
    </row>
    <row r="154" spans="1:10" ht="21" customHeight="1">
      <c r="A154" s="1" t="s">
        <v>308</v>
      </c>
      <c r="B154" s="17" t="s">
        <v>137</v>
      </c>
      <c r="C154" s="1" t="s">
        <v>1</v>
      </c>
      <c r="D154" s="76">
        <v>741</v>
      </c>
      <c r="E154" s="76">
        <v>741</v>
      </c>
      <c r="F154" s="76">
        <v>830</v>
      </c>
      <c r="G154" s="76">
        <v>807</v>
      </c>
      <c r="H154" s="48">
        <f t="shared" si="39"/>
        <v>97.228915662650593</v>
      </c>
      <c r="I154" s="3"/>
      <c r="J154" s="67"/>
    </row>
    <row r="155" spans="1:10" s="88" customFormat="1" ht="22.5" hidden="1" customHeight="1" outlineLevel="1">
      <c r="A155" s="84"/>
      <c r="B155" s="85" t="s">
        <v>166</v>
      </c>
      <c r="C155" s="84"/>
      <c r="D155" s="86">
        <f t="shared" ref="D155:G155" si="41">SUM(D157:D161)</f>
        <v>37</v>
      </c>
      <c r="E155" s="86">
        <f t="shared" si="41"/>
        <v>38</v>
      </c>
      <c r="F155" s="86">
        <f t="shared" si="41"/>
        <v>38</v>
      </c>
      <c r="G155" s="86">
        <f t="shared" si="41"/>
        <v>38</v>
      </c>
      <c r="H155" s="87">
        <f t="shared" si="39"/>
        <v>100</v>
      </c>
      <c r="I155" s="111"/>
    </row>
    <row r="156" spans="1:10" s="88" customFormat="1" ht="22.5" hidden="1" customHeight="1" outlineLevel="1">
      <c r="A156" s="84"/>
      <c r="B156" s="89" t="s">
        <v>136</v>
      </c>
      <c r="C156" s="84"/>
      <c r="D156" s="86"/>
      <c r="E156" s="86"/>
      <c r="F156" s="86"/>
      <c r="G156" s="86"/>
      <c r="H156" s="87" t="str">
        <f t="shared" si="39"/>
        <v/>
      </c>
      <c r="I156" s="111"/>
    </row>
    <row r="157" spans="1:10" s="88" customFormat="1" ht="22.5" hidden="1" customHeight="1" outlineLevel="1">
      <c r="A157" s="84"/>
      <c r="B157" s="85" t="s">
        <v>138</v>
      </c>
      <c r="C157" s="84" t="s">
        <v>62</v>
      </c>
      <c r="D157" s="86">
        <v>13</v>
      </c>
      <c r="E157" s="86">
        <v>13</v>
      </c>
      <c r="F157" s="86">
        <f>E157</f>
        <v>13</v>
      </c>
      <c r="G157" s="86">
        <f t="shared" ref="G157:G161" si="42">F157</f>
        <v>13</v>
      </c>
      <c r="H157" s="87">
        <f t="shared" si="39"/>
        <v>100</v>
      </c>
      <c r="I157" s="111"/>
    </row>
    <row r="158" spans="1:10" s="88" customFormat="1" ht="22.5" hidden="1" customHeight="1" outlineLevel="1">
      <c r="A158" s="84"/>
      <c r="B158" s="85" t="s">
        <v>139</v>
      </c>
      <c r="C158" s="84" t="s">
        <v>62</v>
      </c>
      <c r="D158" s="86">
        <v>13</v>
      </c>
      <c r="E158" s="86">
        <v>14</v>
      </c>
      <c r="F158" s="86">
        <f>E158</f>
        <v>14</v>
      </c>
      <c r="G158" s="86">
        <f t="shared" si="42"/>
        <v>14</v>
      </c>
      <c r="H158" s="87">
        <f t="shared" si="39"/>
        <v>99.999999999999986</v>
      </c>
      <c r="I158" s="111"/>
    </row>
    <row r="159" spans="1:10" s="88" customFormat="1" ht="22.5" hidden="1" customHeight="1" outlineLevel="1">
      <c r="A159" s="84"/>
      <c r="B159" s="85" t="s">
        <v>140</v>
      </c>
      <c r="C159" s="84" t="s">
        <v>62</v>
      </c>
      <c r="D159" s="86">
        <v>9</v>
      </c>
      <c r="E159" s="86">
        <v>9</v>
      </c>
      <c r="F159" s="86">
        <f>E159</f>
        <v>9</v>
      </c>
      <c r="G159" s="86">
        <f t="shared" si="42"/>
        <v>9</v>
      </c>
      <c r="H159" s="87">
        <f t="shared" si="39"/>
        <v>100</v>
      </c>
      <c r="I159" s="111"/>
    </row>
    <row r="160" spans="1:10" s="88" customFormat="1" ht="22.5" hidden="1" customHeight="1" outlineLevel="1">
      <c r="A160" s="84"/>
      <c r="B160" s="85" t="s">
        <v>141</v>
      </c>
      <c r="C160" s="84" t="s">
        <v>62</v>
      </c>
      <c r="D160" s="86">
        <v>1</v>
      </c>
      <c r="E160" s="86">
        <v>1</v>
      </c>
      <c r="F160" s="86">
        <f>E160</f>
        <v>1</v>
      </c>
      <c r="G160" s="86">
        <f t="shared" si="42"/>
        <v>1</v>
      </c>
      <c r="H160" s="87">
        <f t="shared" si="39"/>
        <v>100</v>
      </c>
      <c r="I160" s="111"/>
    </row>
    <row r="161" spans="1:9" s="88" customFormat="1" ht="22.5" hidden="1" customHeight="1" outlineLevel="1">
      <c r="A161" s="84"/>
      <c r="B161" s="85" t="s">
        <v>142</v>
      </c>
      <c r="C161" s="84" t="s">
        <v>62</v>
      </c>
      <c r="D161" s="86">
        <v>1</v>
      </c>
      <c r="E161" s="86">
        <v>1</v>
      </c>
      <c r="F161" s="86">
        <f>E161</f>
        <v>1</v>
      </c>
      <c r="G161" s="86">
        <f t="shared" si="42"/>
        <v>1</v>
      </c>
      <c r="H161" s="87">
        <f t="shared" si="39"/>
        <v>100</v>
      </c>
      <c r="I161" s="111"/>
    </row>
    <row r="162" spans="1:9" s="88" customFormat="1" ht="22.5" hidden="1" customHeight="1" outlineLevel="1">
      <c r="A162" s="84"/>
      <c r="B162" s="85" t="s">
        <v>143</v>
      </c>
      <c r="C162" s="84" t="s">
        <v>62</v>
      </c>
      <c r="D162" s="86">
        <f t="shared" ref="D162:G162" si="43">SUM(D164:D168)</f>
        <v>20</v>
      </c>
      <c r="E162" s="86">
        <f t="shared" si="43"/>
        <v>21</v>
      </c>
      <c r="F162" s="86">
        <f t="shared" si="43"/>
        <v>25</v>
      </c>
      <c r="G162" s="86">
        <f t="shared" si="43"/>
        <v>21</v>
      </c>
      <c r="H162" s="87">
        <f t="shared" si="39"/>
        <v>84</v>
      </c>
      <c r="I162" s="111"/>
    </row>
    <row r="163" spans="1:9" s="88" customFormat="1" ht="22.5" hidden="1" customHeight="1" outlineLevel="1">
      <c r="A163" s="84"/>
      <c r="B163" s="89" t="s">
        <v>136</v>
      </c>
      <c r="C163" s="84"/>
      <c r="D163" s="86"/>
      <c r="E163" s="86"/>
      <c r="F163" s="86"/>
      <c r="G163" s="86"/>
      <c r="H163" s="87" t="str">
        <f t="shared" si="39"/>
        <v/>
      </c>
      <c r="I163" s="111"/>
    </row>
    <row r="164" spans="1:9" s="88" customFormat="1" ht="22.5" hidden="1" customHeight="1" outlineLevel="1">
      <c r="A164" s="84"/>
      <c r="B164" s="85" t="s">
        <v>138</v>
      </c>
      <c r="C164" s="84" t="s">
        <v>62</v>
      </c>
      <c r="D164" s="86">
        <v>5</v>
      </c>
      <c r="E164" s="86">
        <v>6</v>
      </c>
      <c r="F164" s="86">
        <v>8</v>
      </c>
      <c r="G164" s="86">
        <v>6</v>
      </c>
      <c r="H164" s="87">
        <f t="shared" si="39"/>
        <v>75</v>
      </c>
      <c r="I164" s="111"/>
    </row>
    <row r="165" spans="1:9" s="88" customFormat="1" ht="22.5" hidden="1" customHeight="1" outlineLevel="1">
      <c r="A165" s="84"/>
      <c r="B165" s="85" t="s">
        <v>139</v>
      </c>
      <c r="C165" s="84" t="s">
        <v>62</v>
      </c>
      <c r="D165" s="86">
        <v>9</v>
      </c>
      <c r="E165" s="86">
        <v>9</v>
      </c>
      <c r="F165" s="86">
        <v>10</v>
      </c>
      <c r="G165" s="86">
        <v>9</v>
      </c>
      <c r="H165" s="87">
        <f t="shared" si="39"/>
        <v>90</v>
      </c>
      <c r="I165" s="111"/>
    </row>
    <row r="166" spans="1:9" s="88" customFormat="1" ht="22.5" hidden="1" customHeight="1" outlineLevel="1">
      <c r="A166" s="84"/>
      <c r="B166" s="85" t="s">
        <v>140</v>
      </c>
      <c r="C166" s="84" t="s">
        <v>62</v>
      </c>
      <c r="D166" s="86">
        <v>4</v>
      </c>
      <c r="E166" s="86">
        <v>4</v>
      </c>
      <c r="F166" s="86">
        <v>5</v>
      </c>
      <c r="G166" s="86">
        <v>4</v>
      </c>
      <c r="H166" s="87">
        <f t="shared" si="39"/>
        <v>80</v>
      </c>
      <c r="I166" s="111"/>
    </row>
    <row r="167" spans="1:9" s="88" customFormat="1" ht="22.5" hidden="1" customHeight="1" outlineLevel="1">
      <c r="A167" s="84"/>
      <c r="B167" s="85" t="s">
        <v>141</v>
      </c>
      <c r="C167" s="84" t="s">
        <v>62</v>
      </c>
      <c r="D167" s="86">
        <v>1</v>
      </c>
      <c r="E167" s="86">
        <v>1</v>
      </c>
      <c r="F167" s="86">
        <v>1</v>
      </c>
      <c r="G167" s="86">
        <v>1</v>
      </c>
      <c r="H167" s="87">
        <f t="shared" si="39"/>
        <v>100</v>
      </c>
      <c r="I167" s="111"/>
    </row>
    <row r="168" spans="1:9" s="88" customFormat="1" ht="22.5" hidden="1" customHeight="1" outlineLevel="1">
      <c r="A168" s="84"/>
      <c r="B168" s="85" t="s">
        <v>142</v>
      </c>
      <c r="C168" s="84" t="s">
        <v>62</v>
      </c>
      <c r="D168" s="86">
        <v>1</v>
      </c>
      <c r="E168" s="86">
        <v>1</v>
      </c>
      <c r="F168" s="86">
        <v>1</v>
      </c>
      <c r="G168" s="86">
        <v>1</v>
      </c>
      <c r="H168" s="87">
        <f t="shared" si="39"/>
        <v>100</v>
      </c>
      <c r="I168" s="111"/>
    </row>
    <row r="169" spans="1:9" ht="22.5" customHeight="1" collapsed="1">
      <c r="A169" s="1">
        <v>2</v>
      </c>
      <c r="B169" s="17" t="s">
        <v>63</v>
      </c>
      <c r="C169" s="1" t="s">
        <v>16</v>
      </c>
      <c r="D169" s="61">
        <f t="shared" ref="D169:G169" si="44">D162/D155%</f>
        <v>54.054054054054056</v>
      </c>
      <c r="E169" s="61">
        <f t="shared" si="44"/>
        <v>55.263157894736842</v>
      </c>
      <c r="F169" s="61">
        <f t="shared" si="44"/>
        <v>65.78947368421052</v>
      </c>
      <c r="G169" s="61">
        <f t="shared" si="44"/>
        <v>55.263157894736842</v>
      </c>
      <c r="H169" s="48">
        <f t="shared" si="39"/>
        <v>84.000000000000014</v>
      </c>
      <c r="I169" s="3"/>
    </row>
    <row r="170" spans="1:9" ht="22.5" hidden="1" customHeight="1" outlineLevel="1">
      <c r="A170" s="1"/>
      <c r="B170" s="27" t="s">
        <v>136</v>
      </c>
      <c r="C170" s="1"/>
      <c r="D170" s="45"/>
      <c r="E170" s="45"/>
      <c r="F170" s="45"/>
      <c r="G170" s="45"/>
      <c r="H170" s="48" t="str">
        <f t="shared" si="39"/>
        <v/>
      </c>
      <c r="I170" s="3"/>
    </row>
    <row r="171" spans="1:9" ht="22.5" hidden="1" customHeight="1" outlineLevel="1">
      <c r="A171" s="1"/>
      <c r="B171" s="17" t="s">
        <v>138</v>
      </c>
      <c r="C171" s="1" t="s">
        <v>16</v>
      </c>
      <c r="D171" s="45">
        <f t="shared" ref="D171:G175" si="45">D164/D157%</f>
        <v>38.46153846153846</v>
      </c>
      <c r="E171" s="45">
        <f t="shared" si="45"/>
        <v>46.153846153846153</v>
      </c>
      <c r="F171" s="45">
        <f t="shared" si="45"/>
        <v>61.538461538461533</v>
      </c>
      <c r="G171" s="45">
        <f t="shared" si="45"/>
        <v>46.153846153846153</v>
      </c>
      <c r="H171" s="48">
        <f t="shared" si="39"/>
        <v>75.000000000000014</v>
      </c>
      <c r="I171" s="3"/>
    </row>
    <row r="172" spans="1:9" ht="22.5" hidden="1" customHeight="1" outlineLevel="1">
      <c r="A172" s="1"/>
      <c r="B172" s="17" t="s">
        <v>139</v>
      </c>
      <c r="C172" s="1" t="s">
        <v>16</v>
      </c>
      <c r="D172" s="45">
        <f t="shared" si="45"/>
        <v>69.230769230769226</v>
      </c>
      <c r="E172" s="45">
        <f t="shared" si="45"/>
        <v>64.285714285714278</v>
      </c>
      <c r="F172" s="45">
        <f t="shared" si="45"/>
        <v>71.428571428571416</v>
      </c>
      <c r="G172" s="45">
        <f t="shared" si="45"/>
        <v>64.285714285714278</v>
      </c>
      <c r="H172" s="48">
        <f t="shared" si="39"/>
        <v>90</v>
      </c>
      <c r="I172" s="3"/>
    </row>
    <row r="173" spans="1:9" ht="22.5" hidden="1" customHeight="1" outlineLevel="1">
      <c r="A173" s="1"/>
      <c r="B173" s="17" t="s">
        <v>140</v>
      </c>
      <c r="C173" s="1" t="s">
        <v>16</v>
      </c>
      <c r="D173" s="45">
        <f t="shared" si="45"/>
        <v>44.444444444444443</v>
      </c>
      <c r="E173" s="45">
        <f t="shared" si="45"/>
        <v>44.444444444444443</v>
      </c>
      <c r="F173" s="45">
        <f t="shared" si="45"/>
        <v>55.555555555555557</v>
      </c>
      <c r="G173" s="45">
        <f t="shared" si="45"/>
        <v>44.444444444444443</v>
      </c>
      <c r="H173" s="48">
        <f t="shared" si="39"/>
        <v>80</v>
      </c>
      <c r="I173" s="3"/>
    </row>
    <row r="174" spans="1:9" ht="22.5" hidden="1" customHeight="1" outlineLevel="1">
      <c r="A174" s="1"/>
      <c r="B174" s="17" t="s">
        <v>141</v>
      </c>
      <c r="C174" s="1" t="s">
        <v>16</v>
      </c>
      <c r="D174" s="45">
        <f t="shared" si="45"/>
        <v>100</v>
      </c>
      <c r="E174" s="45">
        <f t="shared" si="45"/>
        <v>100</v>
      </c>
      <c r="F174" s="45">
        <f t="shared" si="45"/>
        <v>100</v>
      </c>
      <c r="G174" s="45">
        <f t="shared" si="45"/>
        <v>100</v>
      </c>
      <c r="H174" s="48">
        <f t="shared" si="39"/>
        <v>100</v>
      </c>
      <c r="I174" s="3"/>
    </row>
    <row r="175" spans="1:9" ht="22.5" hidden="1" customHeight="1" outlineLevel="1">
      <c r="A175" s="1"/>
      <c r="B175" s="17" t="s">
        <v>142</v>
      </c>
      <c r="C175" s="1" t="s">
        <v>16</v>
      </c>
      <c r="D175" s="45">
        <f t="shared" si="45"/>
        <v>100</v>
      </c>
      <c r="E175" s="45">
        <f t="shared" si="45"/>
        <v>100</v>
      </c>
      <c r="F175" s="45">
        <f t="shared" si="45"/>
        <v>100</v>
      </c>
      <c r="G175" s="45">
        <f t="shared" si="45"/>
        <v>100</v>
      </c>
      <c r="H175" s="48">
        <f t="shared" si="39"/>
        <v>100</v>
      </c>
      <c r="I175" s="3"/>
    </row>
    <row r="176" spans="1:9" ht="22.5" customHeight="1" collapsed="1">
      <c r="A176" s="1">
        <v>3</v>
      </c>
      <c r="B176" s="38" t="s">
        <v>158</v>
      </c>
      <c r="C176" s="1"/>
      <c r="D176" s="10"/>
      <c r="E176" s="10"/>
      <c r="F176" s="10"/>
      <c r="G176" s="10"/>
      <c r="H176" s="48" t="str">
        <f t="shared" si="39"/>
        <v/>
      </c>
      <c r="I176" s="3"/>
    </row>
    <row r="177" spans="1:10" ht="22.5" customHeight="1">
      <c r="A177" s="60" t="s">
        <v>17</v>
      </c>
      <c r="B177" s="55" t="s">
        <v>83</v>
      </c>
      <c r="C177" s="1" t="s">
        <v>16</v>
      </c>
      <c r="D177" s="128"/>
      <c r="E177" s="128"/>
      <c r="F177" s="128"/>
      <c r="G177" s="128"/>
      <c r="H177" s="48" t="str">
        <f t="shared" si="39"/>
        <v/>
      </c>
      <c r="I177" s="3"/>
    </row>
    <row r="178" spans="1:10" ht="22.5" customHeight="1">
      <c r="A178" s="60"/>
      <c r="B178" s="57" t="s">
        <v>84</v>
      </c>
      <c r="C178" s="1" t="s">
        <v>16</v>
      </c>
      <c r="D178" s="128">
        <v>11.7</v>
      </c>
      <c r="E178" s="128">
        <v>12.1</v>
      </c>
      <c r="F178" s="128">
        <v>12.5</v>
      </c>
      <c r="G178" s="128">
        <v>13.6</v>
      </c>
      <c r="H178" s="48">
        <f t="shared" si="39"/>
        <v>108.8</v>
      </c>
      <c r="I178" s="3"/>
    </row>
    <row r="179" spans="1:10" ht="22.5" customHeight="1">
      <c r="A179" s="60"/>
      <c r="B179" s="57" t="s">
        <v>85</v>
      </c>
      <c r="C179" s="1" t="s">
        <v>16</v>
      </c>
      <c r="D179" s="128">
        <v>97.9</v>
      </c>
      <c r="E179" s="128">
        <v>97.2</v>
      </c>
      <c r="F179" s="128">
        <v>98</v>
      </c>
      <c r="G179" s="128">
        <v>97.7</v>
      </c>
      <c r="H179" s="48">
        <f t="shared" si="39"/>
        <v>99.693877551020407</v>
      </c>
      <c r="I179" s="3"/>
    </row>
    <row r="180" spans="1:10" ht="22.5" customHeight="1">
      <c r="A180" s="60" t="s">
        <v>18</v>
      </c>
      <c r="B180" s="55" t="s">
        <v>104</v>
      </c>
      <c r="C180" s="1" t="s">
        <v>16</v>
      </c>
      <c r="D180" s="128">
        <v>99.9</v>
      </c>
      <c r="E180" s="128">
        <v>100</v>
      </c>
      <c r="F180" s="128">
        <v>100</v>
      </c>
      <c r="G180" s="128">
        <v>100</v>
      </c>
      <c r="H180" s="48">
        <f t="shared" si="39"/>
        <v>100</v>
      </c>
      <c r="I180" s="3"/>
    </row>
    <row r="181" spans="1:10" ht="22.5" customHeight="1">
      <c r="A181" s="60" t="s">
        <v>19</v>
      </c>
      <c r="B181" s="55" t="s">
        <v>159</v>
      </c>
      <c r="C181" s="1" t="s">
        <v>16</v>
      </c>
      <c r="D181" s="128">
        <v>96.2</v>
      </c>
      <c r="E181" s="128">
        <v>99.8</v>
      </c>
      <c r="F181" s="128">
        <v>100</v>
      </c>
      <c r="G181" s="128">
        <v>98.6</v>
      </c>
      <c r="H181" s="48">
        <f t="shared" si="39"/>
        <v>98.6</v>
      </c>
      <c r="I181" s="3"/>
    </row>
    <row r="182" spans="1:10" ht="22.5" customHeight="1">
      <c r="A182" s="8" t="s">
        <v>28</v>
      </c>
      <c r="B182" s="12" t="s">
        <v>145</v>
      </c>
      <c r="C182" s="1"/>
      <c r="D182" s="10"/>
      <c r="E182" s="10"/>
      <c r="F182" s="10"/>
      <c r="G182" s="10"/>
      <c r="H182" s="53" t="str">
        <f t="shared" si="39"/>
        <v/>
      </c>
      <c r="I182" s="3"/>
    </row>
    <row r="183" spans="1:10" ht="22.5" customHeight="1">
      <c r="A183" s="1">
        <v>1</v>
      </c>
      <c r="B183" s="17" t="s">
        <v>146</v>
      </c>
      <c r="C183" s="1" t="s">
        <v>64</v>
      </c>
      <c r="D183" s="10">
        <v>130</v>
      </c>
      <c r="E183" s="10">
        <v>130</v>
      </c>
      <c r="F183" s="10">
        <v>135</v>
      </c>
      <c r="G183" s="10">
        <v>130</v>
      </c>
      <c r="H183" s="48">
        <f t="shared" si="39"/>
        <v>96.296296296296291</v>
      </c>
      <c r="I183" s="3"/>
    </row>
    <row r="184" spans="1:10" ht="24" customHeight="1">
      <c r="A184" s="1">
        <v>2</v>
      </c>
      <c r="B184" s="17" t="s">
        <v>202</v>
      </c>
      <c r="C184" s="1" t="s">
        <v>144</v>
      </c>
      <c r="D184" s="10">
        <v>2</v>
      </c>
      <c r="E184" s="10">
        <v>4</v>
      </c>
      <c r="F184" s="10">
        <v>7</v>
      </c>
      <c r="G184" s="10">
        <v>4</v>
      </c>
      <c r="H184" s="48">
        <f t="shared" si="39"/>
        <v>57.142857142857139</v>
      </c>
      <c r="I184" s="3"/>
    </row>
    <row r="185" spans="1:10" ht="21" customHeight="1">
      <c r="A185" s="1"/>
      <c r="B185" s="37" t="s">
        <v>203</v>
      </c>
      <c r="C185" s="1" t="s">
        <v>16</v>
      </c>
      <c r="D185" s="45">
        <f t="shared" ref="D185:G185" si="46">D184/9%</f>
        <v>22.222222222222221</v>
      </c>
      <c r="E185" s="45">
        <f t="shared" si="46"/>
        <v>44.444444444444443</v>
      </c>
      <c r="F185" s="45">
        <f t="shared" si="46"/>
        <v>77.777777777777786</v>
      </c>
      <c r="G185" s="45">
        <f t="shared" si="46"/>
        <v>44.444444444444443</v>
      </c>
      <c r="H185" s="48">
        <f t="shared" si="39"/>
        <v>57.142857142857132</v>
      </c>
      <c r="I185" s="3"/>
    </row>
    <row r="186" spans="1:10" ht="21.75" customHeight="1">
      <c r="A186" s="1">
        <v>3</v>
      </c>
      <c r="B186" s="29" t="s">
        <v>82</v>
      </c>
      <c r="C186" s="1" t="s">
        <v>16</v>
      </c>
      <c r="D186" s="45">
        <v>83.5</v>
      </c>
      <c r="E186" s="45">
        <v>85</v>
      </c>
      <c r="F186" s="45">
        <v>90</v>
      </c>
      <c r="G186" s="45">
        <v>86</v>
      </c>
      <c r="H186" s="48">
        <f t="shared" si="39"/>
        <v>95.555555555555557</v>
      </c>
      <c r="I186" s="3"/>
    </row>
    <row r="187" spans="1:10" ht="31.2">
      <c r="A187" s="1">
        <v>4</v>
      </c>
      <c r="B187" s="29" t="s">
        <v>180</v>
      </c>
      <c r="C187" s="1" t="s">
        <v>16</v>
      </c>
      <c r="D187" s="61">
        <v>33.1</v>
      </c>
      <c r="E187" s="45">
        <v>31.8</v>
      </c>
      <c r="F187" s="45">
        <v>31.3</v>
      </c>
      <c r="G187" s="45"/>
      <c r="H187" s="48">
        <f t="shared" si="39"/>
        <v>0</v>
      </c>
      <c r="I187" s="3"/>
    </row>
    <row r="188" spans="1:10" ht="31.2">
      <c r="A188" s="1">
        <v>5</v>
      </c>
      <c r="B188" s="29" t="s">
        <v>181</v>
      </c>
      <c r="C188" s="1" t="s">
        <v>16</v>
      </c>
      <c r="D188" s="61">
        <v>20.6</v>
      </c>
      <c r="E188" s="45">
        <v>20</v>
      </c>
      <c r="F188" s="45">
        <v>19.5</v>
      </c>
      <c r="G188" s="45"/>
      <c r="H188" s="48">
        <f t="shared" si="39"/>
        <v>0</v>
      </c>
      <c r="I188" s="3"/>
    </row>
    <row r="189" spans="1:10" ht="31.2">
      <c r="A189" s="8" t="s">
        <v>29</v>
      </c>
      <c r="B189" s="123" t="s">
        <v>86</v>
      </c>
      <c r="C189" s="9"/>
      <c r="D189" s="10"/>
      <c r="E189" s="10"/>
      <c r="F189" s="10"/>
      <c r="G189" s="10"/>
      <c r="H189" s="53" t="str">
        <f t="shared" si="39"/>
        <v/>
      </c>
      <c r="I189" s="3"/>
    </row>
    <row r="190" spans="1:10" ht="22.5" customHeight="1">
      <c r="A190" s="8">
        <v>1</v>
      </c>
      <c r="B190" s="44" t="s">
        <v>87</v>
      </c>
      <c r="C190" s="9"/>
      <c r="D190" s="10"/>
      <c r="E190" s="10"/>
      <c r="F190" s="10"/>
      <c r="G190" s="10"/>
      <c r="H190" s="53" t="str">
        <f t="shared" si="39"/>
        <v/>
      </c>
      <c r="I190" s="3"/>
    </row>
    <row r="191" spans="1:10" ht="22.5" customHeight="1">
      <c r="A191" s="16"/>
      <c r="B191" s="38" t="s">
        <v>88</v>
      </c>
      <c r="C191" s="18" t="s">
        <v>3</v>
      </c>
      <c r="D191" s="49">
        <v>1560</v>
      </c>
      <c r="E191" s="49">
        <v>1560</v>
      </c>
      <c r="F191" s="49">
        <f>E191</f>
        <v>1560</v>
      </c>
      <c r="G191" s="49">
        <v>1248</v>
      </c>
      <c r="H191" s="48">
        <f t="shared" si="39"/>
        <v>80</v>
      </c>
      <c r="I191" s="3"/>
    </row>
    <row r="192" spans="1:10" ht="22.5" customHeight="1">
      <c r="A192" s="16"/>
      <c r="B192" s="38" t="s">
        <v>89</v>
      </c>
      <c r="C192" s="18" t="s">
        <v>3</v>
      </c>
      <c r="D192" s="49">
        <v>21800</v>
      </c>
      <c r="E192" s="49">
        <v>21800</v>
      </c>
      <c r="F192" s="49">
        <f>E192</f>
        <v>21800</v>
      </c>
      <c r="G192" s="49">
        <v>16320</v>
      </c>
      <c r="H192" s="48">
        <f t="shared" si="39"/>
        <v>74.862385321100916</v>
      </c>
      <c r="I192" s="3"/>
      <c r="J192" s="63"/>
    </row>
    <row r="193" spans="1:9" ht="22.5" customHeight="1">
      <c r="A193" s="8">
        <v>2</v>
      </c>
      <c r="B193" s="44" t="s">
        <v>90</v>
      </c>
      <c r="C193" s="18"/>
      <c r="D193" s="49"/>
      <c r="E193" s="49"/>
      <c r="F193" s="49"/>
      <c r="G193" s="49"/>
      <c r="H193" s="53" t="str">
        <f t="shared" si="39"/>
        <v/>
      </c>
      <c r="I193" s="3"/>
    </row>
    <row r="194" spans="1:9" ht="22.5" hidden="1" customHeight="1" outlineLevel="1">
      <c r="A194" s="16" t="s">
        <v>65</v>
      </c>
      <c r="B194" s="38" t="s">
        <v>92</v>
      </c>
      <c r="C194" s="18" t="s">
        <v>93</v>
      </c>
      <c r="D194" s="49">
        <v>9233</v>
      </c>
      <c r="E194" s="49">
        <f>E133*E195%</f>
        <v>9781.42</v>
      </c>
      <c r="F194" s="49">
        <f>F133*F195%</f>
        <v>10744.2</v>
      </c>
      <c r="G194" s="49">
        <f t="shared" ref="G194" si="47">G133*G195%</f>
        <v>0</v>
      </c>
      <c r="H194" s="48">
        <f t="shared" si="39"/>
        <v>0</v>
      </c>
      <c r="I194" s="3"/>
    </row>
    <row r="195" spans="1:9" ht="22.5" customHeight="1" collapsed="1">
      <c r="A195" s="1"/>
      <c r="B195" s="38" t="s">
        <v>94</v>
      </c>
      <c r="C195" s="33" t="s">
        <v>16</v>
      </c>
      <c r="D195" s="49">
        <v>85.6</v>
      </c>
      <c r="E195" s="48">
        <v>86.5</v>
      </c>
      <c r="F195" s="48">
        <v>90</v>
      </c>
      <c r="G195" s="48"/>
      <c r="H195" s="48">
        <f t="shared" si="39"/>
        <v>0</v>
      </c>
      <c r="I195" s="3"/>
    </row>
    <row r="196" spans="1:9" ht="22.5" hidden="1" customHeight="1" outlineLevel="1">
      <c r="A196" s="16" t="s">
        <v>65</v>
      </c>
      <c r="B196" s="38" t="s">
        <v>96</v>
      </c>
      <c r="C196" s="18" t="s">
        <v>97</v>
      </c>
      <c r="D196" s="49">
        <v>58</v>
      </c>
      <c r="E196" s="48">
        <f>67*E197%</f>
        <v>57.954999999999998</v>
      </c>
      <c r="F196" s="48">
        <f t="shared" ref="F196:G196" si="48">67*F197%</f>
        <v>60.97</v>
      </c>
      <c r="G196" s="48">
        <f t="shared" si="48"/>
        <v>0</v>
      </c>
      <c r="H196" s="48">
        <f t="shared" si="39"/>
        <v>0</v>
      </c>
      <c r="I196" s="3"/>
    </row>
    <row r="197" spans="1:9" ht="22.5" customHeight="1" collapsed="1">
      <c r="A197" s="1"/>
      <c r="B197" s="38" t="s">
        <v>71</v>
      </c>
      <c r="C197" s="33" t="s">
        <v>16</v>
      </c>
      <c r="D197" s="49">
        <f>D196/67%</f>
        <v>86.567164179104466</v>
      </c>
      <c r="E197" s="48">
        <v>86.5</v>
      </c>
      <c r="F197" s="48">
        <v>91</v>
      </c>
      <c r="G197" s="48"/>
      <c r="H197" s="48">
        <f t="shared" si="39"/>
        <v>0</v>
      </c>
      <c r="I197" s="3"/>
    </row>
    <row r="198" spans="1:9" ht="22.5" customHeight="1">
      <c r="A198" s="16" t="s">
        <v>65</v>
      </c>
      <c r="B198" s="38" t="s">
        <v>99</v>
      </c>
      <c r="C198" s="18" t="s">
        <v>100</v>
      </c>
      <c r="D198" s="49">
        <v>88</v>
      </c>
      <c r="E198" s="49">
        <v>90</v>
      </c>
      <c r="F198" s="49">
        <v>90</v>
      </c>
      <c r="G198" s="49"/>
      <c r="H198" s="48">
        <f t="shared" si="39"/>
        <v>0</v>
      </c>
      <c r="I198" s="3"/>
    </row>
    <row r="199" spans="1:9" ht="22.5" customHeight="1">
      <c r="A199" s="16" t="s">
        <v>65</v>
      </c>
      <c r="B199" s="17" t="s">
        <v>151</v>
      </c>
      <c r="C199" s="1" t="s">
        <v>37</v>
      </c>
      <c r="D199" s="49">
        <v>4</v>
      </c>
      <c r="E199" s="49">
        <v>4</v>
      </c>
      <c r="F199" s="49">
        <v>4</v>
      </c>
      <c r="G199" s="49">
        <v>4</v>
      </c>
      <c r="H199" s="48">
        <f t="shared" si="39"/>
        <v>100</v>
      </c>
      <c r="I199" s="3"/>
    </row>
    <row r="200" spans="1:9">
      <c r="A200" s="4"/>
      <c r="B200" s="52"/>
      <c r="C200" s="4"/>
      <c r="D200" s="52"/>
      <c r="E200" s="52"/>
      <c r="F200" s="52"/>
      <c r="G200" s="52"/>
      <c r="H200" s="52"/>
      <c r="I200" s="52"/>
    </row>
  </sheetData>
  <mergeCells count="12">
    <mergeCell ref="G5:G6"/>
    <mergeCell ref="I5:I6"/>
    <mergeCell ref="H5:H6"/>
    <mergeCell ref="A1:I1"/>
    <mergeCell ref="A2:I2"/>
    <mergeCell ref="A3:I3"/>
    <mergeCell ref="A5:A6"/>
    <mergeCell ref="B5:B6"/>
    <mergeCell ref="C5:C6"/>
    <mergeCell ref="D5:D6"/>
    <mergeCell ref="E5:E6"/>
    <mergeCell ref="F5:F6"/>
  </mergeCells>
  <pageMargins left="0.47244094488188981" right="0.39370078740157483" top="0.59055118110236227" bottom="0.47244094488188981" header="0.31496062992125984" footer="0.31496062992125984"/>
  <pageSetup paperSize="9" scale="87" fitToHeight="0" orientation="portrait" r:id="rId1"/>
  <headerFooter>
    <oddFooter>&amp;R&amp;"Times New Roman,Regular"&amp;P/&amp;N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53"/>
  <sheetViews>
    <sheetView view="pageBreakPreview" zoomScale="60" zoomScaleNormal="70" workbookViewId="0">
      <pane xSplit="2" ySplit="8" topLeftCell="C9" activePane="bottomRight" state="frozen"/>
      <selection activeCell="H40" sqref="H40"/>
      <selection pane="topRight" activeCell="H40" sqref="H40"/>
      <selection pane="bottomLeft" activeCell="H40" sqref="H40"/>
      <selection pane="bottomRight" activeCell="H40" sqref="H40"/>
    </sheetView>
  </sheetViews>
  <sheetFormatPr defaultColWidth="10" defaultRowHeight="15.6"/>
  <cols>
    <col min="1" max="1" width="6.109375" style="279" customWidth="1"/>
    <col min="2" max="2" width="52.33203125" style="279" customWidth="1"/>
    <col min="3" max="3" width="10" style="280"/>
    <col min="4" max="4" width="10" style="281"/>
    <col min="5" max="5" width="10" style="281" customWidth="1"/>
    <col min="6" max="6" width="10" style="281"/>
    <col min="7" max="9" width="10" style="344"/>
    <col min="10" max="10" width="11.109375" style="344" customWidth="1"/>
    <col min="11" max="11" width="0" style="282" hidden="1" customWidth="1"/>
    <col min="12" max="12" width="0" style="281" hidden="1" customWidth="1"/>
    <col min="13" max="13" width="10" style="281"/>
    <col min="14" max="16384" width="10" style="279"/>
  </cols>
  <sheetData>
    <row r="1" spans="1:13" ht="22.5" customHeight="1">
      <c r="F1" s="659" t="s">
        <v>595</v>
      </c>
      <c r="G1" s="659"/>
      <c r="H1" s="659"/>
      <c r="I1" s="659"/>
      <c r="J1" s="659"/>
    </row>
    <row r="2" spans="1:13" ht="24.75" customHeight="1">
      <c r="A2" s="660" t="s">
        <v>596</v>
      </c>
      <c r="B2" s="660"/>
      <c r="C2" s="660"/>
      <c r="D2" s="660"/>
      <c r="E2" s="660"/>
      <c r="F2" s="660"/>
      <c r="G2" s="660"/>
      <c r="H2" s="660"/>
      <c r="I2" s="660"/>
      <c r="J2" s="660"/>
    </row>
    <row r="3" spans="1:13">
      <c r="A3" s="661" t="str">
        <f>'PL1'!A3:K3</f>
        <v>(Kèm theo Báo cáo số           /BC-UBND, ngày    tháng       năm 2019 của UBND huyện Đăk Tô)</v>
      </c>
      <c r="B3" s="661"/>
      <c r="C3" s="661"/>
      <c r="D3" s="661"/>
      <c r="E3" s="661"/>
      <c r="F3" s="661"/>
      <c r="G3" s="661"/>
      <c r="H3" s="661"/>
      <c r="I3" s="661"/>
      <c r="J3" s="661"/>
    </row>
    <row r="4" spans="1:13">
      <c r="A4" s="662" t="s">
        <v>597</v>
      </c>
      <c r="B4" s="662"/>
      <c r="C4" s="662"/>
      <c r="D4" s="662"/>
      <c r="E4" s="662"/>
      <c r="F4" s="662"/>
      <c r="G4" s="662"/>
      <c r="H4" s="662"/>
      <c r="I4" s="662"/>
      <c r="J4" s="662"/>
      <c r="K4" s="663" t="s">
        <v>598</v>
      </c>
      <c r="L4" s="663"/>
    </row>
    <row r="5" spans="1:13" ht="25.5" customHeight="1">
      <c r="A5" s="664" t="s">
        <v>32</v>
      </c>
      <c r="B5" s="664" t="s">
        <v>599</v>
      </c>
      <c r="C5" s="665" t="s">
        <v>583</v>
      </c>
      <c r="D5" s="658" t="s">
        <v>582</v>
      </c>
      <c r="E5" s="658"/>
      <c r="F5" s="658"/>
      <c r="G5" s="667" t="s">
        <v>226</v>
      </c>
      <c r="H5" s="668"/>
      <c r="I5" s="669"/>
      <c r="J5" s="656" t="s">
        <v>600</v>
      </c>
      <c r="K5" s="657" t="s">
        <v>600</v>
      </c>
      <c r="L5" s="658" t="s">
        <v>601</v>
      </c>
    </row>
    <row r="6" spans="1:13" ht="52.8">
      <c r="A6" s="664"/>
      <c r="B6" s="664"/>
      <c r="C6" s="666"/>
      <c r="D6" s="283" t="s">
        <v>602</v>
      </c>
      <c r="E6" s="283" t="s">
        <v>588</v>
      </c>
      <c r="F6" s="283" t="s">
        <v>603</v>
      </c>
      <c r="G6" s="284" t="s">
        <v>583</v>
      </c>
      <c r="H6" s="284" t="s">
        <v>604</v>
      </c>
      <c r="I6" s="284" t="s">
        <v>267</v>
      </c>
      <c r="J6" s="656"/>
      <c r="K6" s="657"/>
      <c r="L6" s="658"/>
    </row>
    <row r="7" spans="1:13" s="291" customFormat="1" ht="16.2">
      <c r="A7" s="285" t="s">
        <v>23</v>
      </c>
      <c r="B7" s="285" t="s">
        <v>24</v>
      </c>
      <c r="C7" s="286">
        <v>1</v>
      </c>
      <c r="D7" s="287">
        <v>2</v>
      </c>
      <c r="E7" s="287">
        <v>3</v>
      </c>
      <c r="F7" s="287">
        <v>4</v>
      </c>
      <c r="G7" s="288" t="s">
        <v>502</v>
      </c>
      <c r="H7" s="288" t="s">
        <v>503</v>
      </c>
      <c r="I7" s="288" t="s">
        <v>504</v>
      </c>
      <c r="J7" s="288">
        <v>8</v>
      </c>
      <c r="K7" s="289">
        <v>5</v>
      </c>
      <c r="L7" s="287">
        <v>6</v>
      </c>
      <c r="M7" s="290"/>
    </row>
    <row r="8" spans="1:13" s="297" customFormat="1" ht="22.5" customHeight="1">
      <c r="A8" s="292"/>
      <c r="B8" s="293" t="s">
        <v>605</v>
      </c>
      <c r="C8" s="294"/>
      <c r="D8" s="295"/>
      <c r="E8" s="295"/>
      <c r="F8" s="295"/>
      <c r="G8" s="294"/>
      <c r="H8" s="294"/>
      <c r="I8" s="294"/>
      <c r="J8" s="296"/>
      <c r="K8" s="292"/>
      <c r="L8" s="292"/>
    </row>
    <row r="9" spans="1:13" s="282" customFormat="1" ht="23.25" customHeight="1">
      <c r="A9" s="298" t="s">
        <v>23</v>
      </c>
      <c r="B9" s="299" t="s">
        <v>606</v>
      </c>
      <c r="C9" s="300">
        <v>381012</v>
      </c>
      <c r="D9" s="301">
        <v>277205</v>
      </c>
      <c r="E9" s="301">
        <v>197732</v>
      </c>
      <c r="F9" s="301">
        <v>336725</v>
      </c>
      <c r="G9" s="302">
        <f>F9/C9*100</f>
        <v>88.376481580632628</v>
      </c>
      <c r="H9" s="302">
        <f>E9/D9*100</f>
        <v>71.330603704839376</v>
      </c>
      <c r="I9" s="302">
        <f>F9/D9*100</f>
        <v>121.47147417975866</v>
      </c>
      <c r="J9" s="303">
        <f>J13+J48</f>
        <v>344512</v>
      </c>
      <c r="K9" s="304">
        <f t="shared" ref="K9:L9" si="0">K10+K11+K12</f>
        <v>89177.016000000003</v>
      </c>
      <c r="L9" s="304">
        <f t="shared" si="0"/>
        <v>79409.502399999998</v>
      </c>
    </row>
    <row r="10" spans="1:13" s="282" customFormat="1" ht="23.25" hidden="1" customHeight="1">
      <c r="A10" s="298">
        <v>1</v>
      </c>
      <c r="B10" s="299" t="s">
        <v>281</v>
      </c>
      <c r="C10" s="300">
        <f>10658.936092+65738.256219</f>
        <v>76397.192311000006</v>
      </c>
      <c r="D10" s="301">
        <v>70788</v>
      </c>
      <c r="E10" s="301"/>
      <c r="F10" s="301">
        <v>78238.5</v>
      </c>
      <c r="G10" s="302">
        <f t="shared" ref="G10:G50" si="1">F10/C10*100</f>
        <v>102.41017717183158</v>
      </c>
      <c r="H10" s="302">
        <f t="shared" ref="H10:H50" si="2">E10/D10*100</f>
        <v>0</v>
      </c>
      <c r="I10" s="302">
        <f t="shared" ref="I10:I50" si="3">F10/D10*100</f>
        <v>110.52508899813527</v>
      </c>
      <c r="J10" s="303">
        <v>75977.5</v>
      </c>
      <c r="K10" s="299">
        <v>89177.016000000003</v>
      </c>
      <c r="L10" s="299">
        <v>79409.502399999998</v>
      </c>
    </row>
    <row r="11" spans="1:13" s="282" customFormat="1" ht="23.25" hidden="1" customHeight="1">
      <c r="A11" s="305">
        <v>2</v>
      </c>
      <c r="B11" s="299" t="s">
        <v>607</v>
      </c>
      <c r="C11" s="300"/>
      <c r="D11" s="301"/>
      <c r="E11" s="301"/>
      <c r="F11" s="301"/>
      <c r="G11" s="302" t="e">
        <f t="shared" si="1"/>
        <v>#DIV/0!</v>
      </c>
      <c r="H11" s="302" t="e">
        <f t="shared" si="2"/>
        <v>#DIV/0!</v>
      </c>
      <c r="I11" s="302" t="e">
        <f t="shared" si="3"/>
        <v>#DIV/0!</v>
      </c>
      <c r="J11" s="303"/>
      <c r="K11" s="304"/>
      <c r="L11" s="304"/>
    </row>
    <row r="12" spans="1:13" s="282" customFormat="1" ht="23.25" hidden="1" customHeight="1">
      <c r="A12" s="298">
        <v>3</v>
      </c>
      <c r="B12" s="299" t="s">
        <v>608</v>
      </c>
      <c r="C12" s="300"/>
      <c r="D12" s="301"/>
      <c r="E12" s="301"/>
      <c r="F12" s="301"/>
      <c r="G12" s="302" t="e">
        <f t="shared" si="1"/>
        <v>#DIV/0!</v>
      </c>
      <c r="H12" s="302" t="e">
        <f t="shared" si="2"/>
        <v>#DIV/0!</v>
      </c>
      <c r="I12" s="302" t="e">
        <f t="shared" si="3"/>
        <v>#DIV/0!</v>
      </c>
      <c r="J12" s="303"/>
      <c r="K12" s="304"/>
      <c r="L12" s="304"/>
    </row>
    <row r="13" spans="1:13" s="313" customFormat="1" ht="23.25" customHeight="1">
      <c r="A13" s="306" t="s">
        <v>609</v>
      </c>
      <c r="B13" s="307" t="s">
        <v>610</v>
      </c>
      <c r="C13" s="308">
        <f>C14</f>
        <v>111658.27499999999</v>
      </c>
      <c r="D13" s="309">
        <f t="shared" ref="D13:J13" si="4">D14</f>
        <v>98770</v>
      </c>
      <c r="E13" s="309">
        <f t="shared" si="4"/>
        <v>71827.77</v>
      </c>
      <c r="F13" s="309">
        <f t="shared" si="4"/>
        <v>102595</v>
      </c>
      <c r="G13" s="310">
        <f t="shared" si="1"/>
        <v>91.883024343695084</v>
      </c>
      <c r="H13" s="310">
        <f t="shared" si="2"/>
        <v>72.722253720765423</v>
      </c>
      <c r="I13" s="310">
        <f t="shared" si="3"/>
        <v>103.87263339070567</v>
      </c>
      <c r="J13" s="311">
        <f t="shared" si="4"/>
        <v>99000</v>
      </c>
      <c r="K13" s="312"/>
      <c r="L13" s="312"/>
    </row>
    <row r="14" spans="1:13" s="282" customFormat="1" ht="23.25" customHeight="1">
      <c r="A14" s="298" t="s">
        <v>21</v>
      </c>
      <c r="B14" s="299" t="s">
        <v>611</v>
      </c>
      <c r="C14" s="300">
        <f>SUM(C15:C28)</f>
        <v>111658.27499999999</v>
      </c>
      <c r="D14" s="301">
        <f t="shared" ref="D14:J14" si="5">SUM(D15:D28)</f>
        <v>98770</v>
      </c>
      <c r="E14" s="301">
        <f t="shared" si="5"/>
        <v>71827.77</v>
      </c>
      <c r="F14" s="301">
        <f t="shared" si="5"/>
        <v>102595</v>
      </c>
      <c r="G14" s="302">
        <f t="shared" si="1"/>
        <v>91.883024343695084</v>
      </c>
      <c r="H14" s="302">
        <f t="shared" si="2"/>
        <v>72.722253720765423</v>
      </c>
      <c r="I14" s="302">
        <f t="shared" si="3"/>
        <v>103.87263339070567</v>
      </c>
      <c r="J14" s="303">
        <f t="shared" si="5"/>
        <v>99000</v>
      </c>
      <c r="K14" s="304"/>
      <c r="L14" s="304"/>
    </row>
    <row r="15" spans="1:13" s="282" customFormat="1" ht="23.25" customHeight="1">
      <c r="A15" s="298">
        <v>1</v>
      </c>
      <c r="B15" s="299" t="s">
        <v>612</v>
      </c>
      <c r="C15" s="300">
        <f>5031.6+999.3+3</f>
        <v>6033.9000000000005</v>
      </c>
      <c r="D15" s="301">
        <f>5020+1245</f>
        <v>6265</v>
      </c>
      <c r="E15" s="301">
        <f>2002+597.38</f>
        <v>2599.38</v>
      </c>
      <c r="F15" s="301">
        <f>3770+1595</f>
        <v>5365</v>
      </c>
      <c r="G15" s="302">
        <f t="shared" si="1"/>
        <v>88.914300866769409</v>
      </c>
      <c r="H15" s="302">
        <f t="shared" si="2"/>
        <v>41.490502793296088</v>
      </c>
      <c r="I15" s="302">
        <f t="shared" si="3"/>
        <v>85.634477254588987</v>
      </c>
      <c r="J15" s="303">
        <f>4550+1030</f>
        <v>5580</v>
      </c>
      <c r="K15" s="304"/>
      <c r="L15" s="304"/>
    </row>
    <row r="16" spans="1:13" s="282" customFormat="1" ht="23.25" customHeight="1">
      <c r="A16" s="298">
        <v>2</v>
      </c>
      <c r="B16" s="299" t="s">
        <v>613</v>
      </c>
      <c r="C16" s="300">
        <f>853.3</f>
        <v>853.3</v>
      </c>
      <c r="D16" s="301">
        <v>0</v>
      </c>
      <c r="E16" s="301">
        <v>0</v>
      </c>
      <c r="F16" s="301">
        <v>0</v>
      </c>
      <c r="G16" s="302">
        <f t="shared" si="1"/>
        <v>0</v>
      </c>
      <c r="H16" s="302"/>
      <c r="I16" s="302"/>
      <c r="J16" s="303">
        <v>0</v>
      </c>
      <c r="K16" s="304"/>
      <c r="L16" s="304"/>
    </row>
    <row r="17" spans="1:12" s="282" customFormat="1" ht="23.25" customHeight="1">
      <c r="A17" s="298">
        <v>3</v>
      </c>
      <c r="B17" s="299" t="s">
        <v>614</v>
      </c>
      <c r="C17" s="300">
        <v>76085</v>
      </c>
      <c r="D17" s="301">
        <v>74050</v>
      </c>
      <c r="E17" s="301">
        <v>52991</v>
      </c>
      <c r="F17" s="301">
        <v>74650</v>
      </c>
      <c r="G17" s="302">
        <f t="shared" si="1"/>
        <v>98.113951501610046</v>
      </c>
      <c r="H17" s="302">
        <f t="shared" si="2"/>
        <v>71.561107359891963</v>
      </c>
      <c r="I17" s="302">
        <f t="shared" si="3"/>
        <v>100.81026333558407</v>
      </c>
      <c r="J17" s="303">
        <v>76870</v>
      </c>
      <c r="K17" s="304"/>
      <c r="L17" s="304"/>
    </row>
    <row r="18" spans="1:12" s="282" customFormat="1" ht="23.25" customHeight="1">
      <c r="A18" s="298">
        <v>4</v>
      </c>
      <c r="B18" s="299" t="s">
        <v>615</v>
      </c>
      <c r="C18" s="300">
        <v>3863</v>
      </c>
      <c r="D18" s="301">
        <v>4000</v>
      </c>
      <c r="E18" s="301">
        <v>2823</v>
      </c>
      <c r="F18" s="301">
        <v>4200</v>
      </c>
      <c r="G18" s="302">
        <f t="shared" si="1"/>
        <v>108.72378980067306</v>
      </c>
      <c r="H18" s="302">
        <f t="shared" si="2"/>
        <v>70.575000000000003</v>
      </c>
      <c r="I18" s="302">
        <f t="shared" si="3"/>
        <v>105</v>
      </c>
      <c r="J18" s="303">
        <v>4400</v>
      </c>
      <c r="K18" s="304"/>
      <c r="L18" s="304"/>
    </row>
    <row r="19" spans="1:12" s="282" customFormat="1" ht="23.25" customHeight="1">
      <c r="A19" s="298">
        <v>5</v>
      </c>
      <c r="B19" s="299" t="s">
        <v>616</v>
      </c>
      <c r="C19" s="300">
        <v>9.0749999999999993</v>
      </c>
      <c r="D19" s="301">
        <v>10</v>
      </c>
      <c r="E19" s="301">
        <v>0</v>
      </c>
      <c r="F19" s="301">
        <v>10</v>
      </c>
      <c r="G19" s="302"/>
      <c r="H19" s="302">
        <f t="shared" si="2"/>
        <v>0</v>
      </c>
      <c r="I19" s="302">
        <f t="shared" si="3"/>
        <v>100</v>
      </c>
      <c r="J19" s="303">
        <v>0</v>
      </c>
      <c r="K19" s="304"/>
      <c r="L19" s="304"/>
    </row>
    <row r="20" spans="1:12" s="282" customFormat="1" ht="23.25" customHeight="1">
      <c r="A20" s="298">
        <v>6</v>
      </c>
      <c r="B20" s="299" t="s">
        <v>617</v>
      </c>
      <c r="C20" s="300">
        <v>69.599999999999994</v>
      </c>
      <c r="D20" s="301">
        <v>50</v>
      </c>
      <c r="E20" s="301">
        <v>56</v>
      </c>
      <c r="F20" s="301">
        <v>70</v>
      </c>
      <c r="G20" s="302">
        <f t="shared" si="1"/>
        <v>100.57471264367817</v>
      </c>
      <c r="H20" s="302">
        <f t="shared" si="2"/>
        <v>112.00000000000001</v>
      </c>
      <c r="I20" s="302">
        <f t="shared" si="3"/>
        <v>140</v>
      </c>
      <c r="J20" s="303">
        <v>50</v>
      </c>
      <c r="K20" s="304"/>
      <c r="L20" s="304"/>
    </row>
    <row r="21" spans="1:12" s="282" customFormat="1" ht="23.25" customHeight="1">
      <c r="A21" s="298">
        <v>7</v>
      </c>
      <c r="B21" s="299" t="s">
        <v>618</v>
      </c>
      <c r="C21" s="300">
        <v>10833</v>
      </c>
      <c r="D21" s="301">
        <v>2000</v>
      </c>
      <c r="E21" s="301">
        <v>5314</v>
      </c>
      <c r="F21" s="301">
        <v>6000</v>
      </c>
      <c r="G21" s="302">
        <f t="shared" si="1"/>
        <v>55.386319579063972</v>
      </c>
      <c r="H21" s="302">
        <f t="shared" si="2"/>
        <v>265.7</v>
      </c>
      <c r="I21" s="302">
        <f t="shared" si="3"/>
        <v>300</v>
      </c>
      <c r="J21" s="303">
        <v>2000</v>
      </c>
      <c r="K21" s="304"/>
      <c r="L21" s="304"/>
    </row>
    <row r="22" spans="1:12" s="282" customFormat="1" ht="23.25" customHeight="1">
      <c r="A22" s="298">
        <v>8</v>
      </c>
      <c r="B22" s="299" t="s">
        <v>619</v>
      </c>
      <c r="C22" s="300">
        <v>551.9</v>
      </c>
      <c r="D22" s="301">
        <v>520</v>
      </c>
      <c r="E22" s="301">
        <v>293.68</v>
      </c>
      <c r="F22" s="301">
        <v>450</v>
      </c>
      <c r="G22" s="302">
        <f t="shared" si="1"/>
        <v>81.536510237361853</v>
      </c>
      <c r="H22" s="302">
        <f t="shared" si="2"/>
        <v>56.476923076923079</v>
      </c>
      <c r="I22" s="302">
        <f t="shared" si="3"/>
        <v>86.538461538461547</v>
      </c>
      <c r="J22" s="303">
        <v>430</v>
      </c>
      <c r="K22" s="304"/>
      <c r="L22" s="304"/>
    </row>
    <row r="23" spans="1:12" s="282" customFormat="1" ht="23.25" customHeight="1">
      <c r="A23" s="298">
        <v>9</v>
      </c>
      <c r="B23" s="299" t="s">
        <v>620</v>
      </c>
      <c r="C23" s="300">
        <v>4471.8999999999996</v>
      </c>
      <c r="D23" s="301">
        <v>5050</v>
      </c>
      <c r="E23" s="301">
        <v>3448</v>
      </c>
      <c r="F23" s="301">
        <v>5350</v>
      </c>
      <c r="G23" s="302">
        <f t="shared" si="1"/>
        <v>119.63594892551266</v>
      </c>
      <c r="H23" s="302">
        <f t="shared" si="2"/>
        <v>68.277227722772281</v>
      </c>
      <c r="I23" s="302">
        <f t="shared" si="3"/>
        <v>105.94059405940595</v>
      </c>
      <c r="J23" s="303">
        <v>5100</v>
      </c>
      <c r="K23" s="304"/>
      <c r="L23" s="304"/>
    </row>
    <row r="24" spans="1:12" s="282" customFormat="1" ht="23.25" customHeight="1">
      <c r="A24" s="298">
        <v>10</v>
      </c>
      <c r="B24" s="299" t="s">
        <v>621</v>
      </c>
      <c r="C24" s="300">
        <v>1400.6</v>
      </c>
      <c r="D24" s="301">
        <v>2340</v>
      </c>
      <c r="E24" s="301">
        <v>1104</v>
      </c>
      <c r="F24" s="301">
        <v>2340</v>
      </c>
      <c r="G24" s="302">
        <f t="shared" si="1"/>
        <v>167.07125517635299</v>
      </c>
      <c r="H24" s="302">
        <f t="shared" si="2"/>
        <v>47.179487179487175</v>
      </c>
      <c r="I24" s="302">
        <f t="shared" si="3"/>
        <v>100</v>
      </c>
      <c r="J24" s="303">
        <v>1510</v>
      </c>
      <c r="K24" s="304"/>
      <c r="L24" s="304"/>
    </row>
    <row r="25" spans="1:12" s="282" customFormat="1" ht="23.25" customHeight="1">
      <c r="A25" s="298">
        <v>11</v>
      </c>
      <c r="B25" s="299" t="s">
        <v>622</v>
      </c>
      <c r="C25" s="300">
        <v>3015</v>
      </c>
      <c r="D25" s="301">
        <v>2605</v>
      </c>
      <c r="E25" s="301">
        <v>830.71</v>
      </c>
      <c r="F25" s="301">
        <v>1700</v>
      </c>
      <c r="G25" s="302">
        <f t="shared" si="1"/>
        <v>56.384742951907128</v>
      </c>
      <c r="H25" s="302">
        <f t="shared" si="2"/>
        <v>31.889059500959693</v>
      </c>
      <c r="I25" s="302">
        <f t="shared" si="3"/>
        <v>65.259117082533592</v>
      </c>
      <c r="J25" s="303">
        <v>2000</v>
      </c>
      <c r="K25" s="304"/>
      <c r="L25" s="304"/>
    </row>
    <row r="26" spans="1:12" s="282" customFormat="1" ht="23.25" customHeight="1">
      <c r="A26" s="298">
        <v>12</v>
      </c>
      <c r="B26" s="299" t="s">
        <v>623</v>
      </c>
      <c r="C26" s="300">
        <v>81.3</v>
      </c>
      <c r="D26" s="301">
        <v>30</v>
      </c>
      <c r="E26" s="301">
        <v>15</v>
      </c>
      <c r="F26" s="301">
        <v>30</v>
      </c>
      <c r="G26" s="302">
        <f t="shared" si="1"/>
        <v>36.900369003690038</v>
      </c>
      <c r="H26" s="302">
        <f t="shared" si="2"/>
        <v>50</v>
      </c>
      <c r="I26" s="302">
        <f t="shared" si="3"/>
        <v>100</v>
      </c>
      <c r="J26" s="303">
        <v>30</v>
      </c>
      <c r="K26" s="304"/>
      <c r="L26" s="304"/>
    </row>
    <row r="27" spans="1:12" s="282" customFormat="1" ht="23.25" customHeight="1">
      <c r="A27" s="298">
        <v>13</v>
      </c>
      <c r="B27" s="299" t="s">
        <v>624</v>
      </c>
      <c r="C27" s="300">
        <v>4015.7</v>
      </c>
      <c r="D27" s="301">
        <v>1475</v>
      </c>
      <c r="E27" s="301">
        <v>1462</v>
      </c>
      <c r="F27" s="301">
        <v>1530</v>
      </c>
      <c r="G27" s="302">
        <f t="shared" si="1"/>
        <v>38.100455711333019</v>
      </c>
      <c r="H27" s="302">
        <f t="shared" si="2"/>
        <v>99.118644067796609</v>
      </c>
      <c r="I27" s="302">
        <f t="shared" si="3"/>
        <v>103.72881355932205</v>
      </c>
      <c r="J27" s="303">
        <v>1030</v>
      </c>
      <c r="K27" s="304"/>
      <c r="L27" s="304"/>
    </row>
    <row r="28" spans="1:12" s="282" customFormat="1" ht="23.25" customHeight="1">
      <c r="A28" s="298">
        <v>14</v>
      </c>
      <c r="B28" s="299" t="s">
        <v>625</v>
      </c>
      <c r="C28" s="300">
        <v>375</v>
      </c>
      <c r="D28" s="301">
        <v>375</v>
      </c>
      <c r="E28" s="301">
        <v>891</v>
      </c>
      <c r="F28" s="301">
        <v>900</v>
      </c>
      <c r="G28" s="302">
        <f t="shared" si="1"/>
        <v>240</v>
      </c>
      <c r="H28" s="302">
        <f t="shared" si="2"/>
        <v>237.6</v>
      </c>
      <c r="I28" s="302">
        <f t="shared" si="3"/>
        <v>240</v>
      </c>
      <c r="J28" s="303">
        <v>0</v>
      </c>
      <c r="K28" s="304"/>
      <c r="L28" s="304"/>
    </row>
    <row r="29" spans="1:12" s="313" customFormat="1" ht="23.25" customHeight="1">
      <c r="A29" s="306" t="s">
        <v>626</v>
      </c>
      <c r="B29" s="307" t="s">
        <v>627</v>
      </c>
      <c r="C29" s="308"/>
      <c r="D29" s="309"/>
      <c r="E29" s="309"/>
      <c r="F29" s="309"/>
      <c r="G29" s="310"/>
      <c r="H29" s="310"/>
      <c r="I29" s="310"/>
      <c r="J29" s="311"/>
      <c r="K29" s="312"/>
      <c r="L29" s="312"/>
    </row>
    <row r="30" spans="1:12" s="313" customFormat="1" ht="23.25" customHeight="1">
      <c r="A30" s="306" t="s">
        <v>24</v>
      </c>
      <c r="B30" s="307" t="s">
        <v>628</v>
      </c>
      <c r="C30" s="308"/>
      <c r="D30" s="309"/>
      <c r="E30" s="309"/>
      <c r="F30" s="309"/>
      <c r="G30" s="310"/>
      <c r="H30" s="310"/>
      <c r="I30" s="310"/>
      <c r="J30" s="311"/>
      <c r="K30" s="312"/>
      <c r="L30" s="312"/>
    </row>
    <row r="31" spans="1:12" s="319" customFormat="1" ht="23.25" customHeight="1">
      <c r="A31" s="314"/>
      <c r="B31" s="315" t="s">
        <v>629</v>
      </c>
      <c r="C31" s="316"/>
      <c r="D31" s="309"/>
      <c r="E31" s="309"/>
      <c r="F31" s="309"/>
      <c r="G31" s="317"/>
      <c r="H31" s="317"/>
      <c r="I31" s="317"/>
      <c r="J31" s="311"/>
      <c r="K31" s="318"/>
      <c r="L31" s="318"/>
    </row>
    <row r="32" spans="1:12" s="323" customFormat="1" ht="27" customHeight="1">
      <c r="A32" s="314" t="s">
        <v>23</v>
      </c>
      <c r="B32" s="315" t="s">
        <v>630</v>
      </c>
      <c r="C32" s="320">
        <f>C33+C48+C51</f>
        <v>300978.36</v>
      </c>
      <c r="D32" s="301">
        <f t="shared" ref="D32:J32" si="6">D33+D48+D51</f>
        <v>294791</v>
      </c>
      <c r="E32" s="301">
        <f t="shared" si="6"/>
        <v>164864.85999999999</v>
      </c>
      <c r="F32" s="301">
        <f t="shared" si="6"/>
        <v>299509.5</v>
      </c>
      <c r="G32" s="321">
        <f t="shared" si="1"/>
        <v>99.511971558353892</v>
      </c>
      <c r="H32" s="321">
        <f t="shared" si="2"/>
        <v>55.926015380388137</v>
      </c>
      <c r="I32" s="321">
        <f t="shared" si="3"/>
        <v>101.60062552791638</v>
      </c>
      <c r="J32" s="303">
        <f t="shared" si="6"/>
        <v>328951</v>
      </c>
      <c r="K32" s="322" t="e">
        <f>#REF!+K48+#REF!+#REF!</f>
        <v>#REF!</v>
      </c>
      <c r="L32" s="322" t="e">
        <f>#REF!+L48+#REF!+#REF!</f>
        <v>#REF!</v>
      </c>
    </row>
    <row r="33" spans="1:12" s="323" customFormat="1" ht="23.25" customHeight="1">
      <c r="A33" s="324" t="s">
        <v>21</v>
      </c>
      <c r="B33" s="322" t="s">
        <v>631</v>
      </c>
      <c r="C33" s="320">
        <f>SUM(C34:C47)</f>
        <v>90735.360000000001</v>
      </c>
      <c r="D33" s="301">
        <f t="shared" ref="D33:F33" si="7">SUM(D34:D47)</f>
        <v>80858</v>
      </c>
      <c r="E33" s="301">
        <f t="shared" si="7"/>
        <v>60396.859999999993</v>
      </c>
      <c r="F33" s="301">
        <f t="shared" si="7"/>
        <v>84796.5</v>
      </c>
      <c r="G33" s="321">
        <f t="shared" si="1"/>
        <v>93.454745757332091</v>
      </c>
      <c r="H33" s="321">
        <f t="shared" si="2"/>
        <v>74.694971431398244</v>
      </c>
      <c r="I33" s="321">
        <f t="shared" si="3"/>
        <v>104.87088476093894</v>
      </c>
      <c r="J33" s="303">
        <f t="shared" ref="J33" si="8">SUM(J34:J47)</f>
        <v>83439</v>
      </c>
      <c r="K33" s="325"/>
      <c r="L33" s="325"/>
    </row>
    <row r="34" spans="1:12" s="323" customFormat="1" ht="23.25" customHeight="1">
      <c r="A34" s="324">
        <v>1</v>
      </c>
      <c r="B34" s="322" t="s">
        <v>612</v>
      </c>
      <c r="C34" s="320">
        <f>664.3+87.013</f>
        <v>751.31299999999999</v>
      </c>
      <c r="D34" s="301">
        <f>755+255</f>
        <v>1010</v>
      </c>
      <c r="E34" s="301">
        <f>209.4+44.59</f>
        <v>253.99</v>
      </c>
      <c r="F34" s="301">
        <f>377+159.5</f>
        <v>536.5</v>
      </c>
      <c r="G34" s="321">
        <f t="shared" si="1"/>
        <v>71.408321165745832</v>
      </c>
      <c r="H34" s="321">
        <f t="shared" si="2"/>
        <v>25.147524752475249</v>
      </c>
      <c r="I34" s="321">
        <f t="shared" si="3"/>
        <v>53.118811881188122</v>
      </c>
      <c r="J34" s="303">
        <f>455+103</f>
        <v>558</v>
      </c>
      <c r="K34" s="325"/>
      <c r="L34" s="325"/>
    </row>
    <row r="35" spans="1:12" s="323" customFormat="1" ht="23.25" customHeight="1">
      <c r="A35" s="324">
        <v>2</v>
      </c>
      <c r="B35" s="322" t="s">
        <v>613</v>
      </c>
      <c r="C35" s="320">
        <v>85.29</v>
      </c>
      <c r="D35" s="301">
        <v>0</v>
      </c>
      <c r="E35" s="301">
        <v>0</v>
      </c>
      <c r="F35" s="301">
        <v>0</v>
      </c>
      <c r="G35" s="321">
        <f t="shared" si="1"/>
        <v>0</v>
      </c>
      <c r="H35" s="321"/>
      <c r="I35" s="321"/>
      <c r="J35" s="303">
        <v>0</v>
      </c>
      <c r="K35" s="325"/>
      <c r="L35" s="325"/>
    </row>
    <row r="36" spans="1:12" s="323" customFormat="1" ht="23.25" customHeight="1">
      <c r="A36" s="324">
        <v>3</v>
      </c>
      <c r="B36" s="322" t="s">
        <v>614</v>
      </c>
      <c r="C36" s="320">
        <v>67329.8</v>
      </c>
      <c r="D36" s="301">
        <v>65299</v>
      </c>
      <c r="E36" s="301">
        <v>46912</v>
      </c>
      <c r="F36" s="301">
        <v>67185</v>
      </c>
      <c r="G36" s="321">
        <f t="shared" si="1"/>
        <v>99.784939209681298</v>
      </c>
      <c r="H36" s="321">
        <f t="shared" si="2"/>
        <v>71.841835250156976</v>
      </c>
      <c r="I36" s="321">
        <f t="shared" si="3"/>
        <v>102.88825250003828</v>
      </c>
      <c r="J36" s="303">
        <v>69183</v>
      </c>
      <c r="K36" s="325"/>
      <c r="L36" s="325"/>
    </row>
    <row r="37" spans="1:12" s="323" customFormat="1" ht="23.25" customHeight="1">
      <c r="A37" s="324">
        <v>4</v>
      </c>
      <c r="B37" s="322" t="s">
        <v>615</v>
      </c>
      <c r="C37" s="320">
        <f>3444+419.5</f>
        <v>3863.5</v>
      </c>
      <c r="D37" s="301">
        <v>4000</v>
      </c>
      <c r="E37" s="301">
        <v>2823</v>
      </c>
      <c r="F37" s="301">
        <v>4200</v>
      </c>
      <c r="G37" s="321">
        <f t="shared" si="1"/>
        <v>108.70971916655883</v>
      </c>
      <c r="H37" s="321">
        <f t="shared" si="2"/>
        <v>70.575000000000003</v>
      </c>
      <c r="I37" s="321">
        <f t="shared" si="3"/>
        <v>105</v>
      </c>
      <c r="J37" s="303">
        <v>4400</v>
      </c>
      <c r="K37" s="325"/>
      <c r="L37" s="325"/>
    </row>
    <row r="38" spans="1:12" s="323" customFormat="1" ht="23.25" customHeight="1">
      <c r="A38" s="324">
        <v>5</v>
      </c>
      <c r="B38" s="322" t="s">
        <v>616</v>
      </c>
      <c r="C38" s="320">
        <v>9.0749999999999993</v>
      </c>
      <c r="D38" s="301">
        <v>10</v>
      </c>
      <c r="E38" s="301">
        <v>0</v>
      </c>
      <c r="F38" s="301">
        <v>10</v>
      </c>
      <c r="G38" s="321"/>
      <c r="H38" s="321">
        <f t="shared" si="2"/>
        <v>0</v>
      </c>
      <c r="I38" s="321">
        <f t="shared" si="3"/>
        <v>100</v>
      </c>
      <c r="J38" s="303"/>
      <c r="K38" s="325"/>
      <c r="L38" s="325"/>
    </row>
    <row r="39" spans="1:12" s="323" customFormat="1" ht="23.25" customHeight="1">
      <c r="A39" s="324">
        <v>6</v>
      </c>
      <c r="B39" s="322" t="s">
        <v>617</v>
      </c>
      <c r="C39" s="320">
        <v>69.691999999999993</v>
      </c>
      <c r="D39" s="301">
        <v>50</v>
      </c>
      <c r="E39" s="301">
        <v>56</v>
      </c>
      <c r="F39" s="301">
        <v>70</v>
      </c>
      <c r="G39" s="321">
        <f t="shared" si="1"/>
        <v>100.44194455604662</v>
      </c>
      <c r="H39" s="321">
        <f t="shared" si="2"/>
        <v>112.00000000000001</v>
      </c>
      <c r="I39" s="321">
        <f t="shared" si="3"/>
        <v>140</v>
      </c>
      <c r="J39" s="303">
        <v>50</v>
      </c>
      <c r="K39" s="325"/>
      <c r="L39" s="325"/>
    </row>
    <row r="40" spans="1:12" s="323" customFormat="1" ht="23.25" customHeight="1">
      <c r="A40" s="324">
        <v>7</v>
      </c>
      <c r="B40" s="322" t="s">
        <v>618</v>
      </c>
      <c r="C40" s="320">
        <f>6758.928+2080.695</f>
        <v>8839.6229999999996</v>
      </c>
      <c r="D40" s="301">
        <v>1760</v>
      </c>
      <c r="E40" s="301">
        <v>4676</v>
      </c>
      <c r="F40" s="301">
        <v>4800</v>
      </c>
      <c r="G40" s="321">
        <f t="shared" si="1"/>
        <v>54.30095831009988</v>
      </c>
      <c r="H40" s="321">
        <f t="shared" si="2"/>
        <v>265.68181818181819</v>
      </c>
      <c r="I40" s="321">
        <f t="shared" si="3"/>
        <v>272.72727272727269</v>
      </c>
      <c r="J40" s="303">
        <v>1760</v>
      </c>
      <c r="K40" s="325"/>
      <c r="L40" s="325"/>
    </row>
    <row r="41" spans="1:12" s="323" customFormat="1" ht="23.25" customHeight="1">
      <c r="A41" s="324">
        <v>8</v>
      </c>
      <c r="B41" s="322" t="s">
        <v>619</v>
      </c>
      <c r="C41" s="320">
        <v>441.25900000000001</v>
      </c>
      <c r="D41" s="301">
        <v>416</v>
      </c>
      <c r="E41" s="301">
        <v>234.95</v>
      </c>
      <c r="F41" s="301">
        <v>315</v>
      </c>
      <c r="G41" s="321">
        <f t="shared" si="1"/>
        <v>71.386645938099846</v>
      </c>
      <c r="H41" s="321">
        <f t="shared" si="2"/>
        <v>56.47836538461538</v>
      </c>
      <c r="I41" s="321">
        <f t="shared" si="3"/>
        <v>75.72115384615384</v>
      </c>
      <c r="J41" s="303">
        <v>280</v>
      </c>
      <c r="K41" s="325"/>
      <c r="L41" s="325"/>
    </row>
    <row r="42" spans="1:12" s="323" customFormat="1" ht="23.25" customHeight="1">
      <c r="A42" s="324">
        <v>9</v>
      </c>
      <c r="B42" s="322" t="s">
        <v>620</v>
      </c>
      <c r="C42" s="320">
        <v>4024.7240000000002</v>
      </c>
      <c r="D42" s="301">
        <v>4545</v>
      </c>
      <c r="E42" s="301">
        <v>3103</v>
      </c>
      <c r="F42" s="301">
        <v>4815</v>
      </c>
      <c r="G42" s="321">
        <f t="shared" si="1"/>
        <v>119.63553277193665</v>
      </c>
      <c r="H42" s="321">
        <f t="shared" si="2"/>
        <v>68.272827282728272</v>
      </c>
      <c r="I42" s="321">
        <f t="shared" si="3"/>
        <v>105.94059405940595</v>
      </c>
      <c r="J42" s="303">
        <v>4590</v>
      </c>
      <c r="K42" s="325"/>
      <c r="L42" s="325"/>
    </row>
    <row r="43" spans="1:12" s="323" customFormat="1" ht="23.25" customHeight="1">
      <c r="A43" s="324">
        <v>10</v>
      </c>
      <c r="B43" s="322" t="s">
        <v>621</v>
      </c>
      <c r="C43" s="320">
        <f>346.922+993.027</f>
        <v>1339.9490000000001</v>
      </c>
      <c r="D43" s="301">
        <v>1510</v>
      </c>
      <c r="E43" s="301">
        <v>1025</v>
      </c>
      <c r="F43" s="301">
        <v>1207</v>
      </c>
      <c r="G43" s="321">
        <f t="shared" si="1"/>
        <v>90.078055209563942</v>
      </c>
      <c r="H43" s="321">
        <f t="shared" si="2"/>
        <v>67.880794701986758</v>
      </c>
      <c r="I43" s="321">
        <f t="shared" si="3"/>
        <v>79.933774834437088</v>
      </c>
      <c r="J43" s="303">
        <v>970</v>
      </c>
      <c r="K43" s="325"/>
      <c r="L43" s="325"/>
    </row>
    <row r="44" spans="1:12" s="323" customFormat="1" ht="23.25" customHeight="1">
      <c r="A44" s="324">
        <v>11</v>
      </c>
      <c r="B44" s="322" t="s">
        <v>622</v>
      </c>
      <c r="C44" s="320">
        <f>1087.675+142.735</f>
        <v>1230.4099999999999</v>
      </c>
      <c r="D44" s="301">
        <v>2020</v>
      </c>
      <c r="E44" s="301">
        <v>352.42</v>
      </c>
      <c r="F44" s="301">
        <v>548</v>
      </c>
      <c r="G44" s="321">
        <f t="shared" si="1"/>
        <v>44.537999528612424</v>
      </c>
      <c r="H44" s="321">
        <f t="shared" si="2"/>
        <v>17.446534653465349</v>
      </c>
      <c r="I44" s="321">
        <f t="shared" si="3"/>
        <v>27.128712871287131</v>
      </c>
      <c r="J44" s="303">
        <v>1105</v>
      </c>
      <c r="K44" s="325"/>
      <c r="L44" s="325"/>
    </row>
    <row r="45" spans="1:12" s="323" customFormat="1" ht="23.25" customHeight="1">
      <c r="A45" s="324">
        <v>12</v>
      </c>
      <c r="B45" s="322" t="s">
        <v>623</v>
      </c>
      <c r="C45" s="320">
        <v>81.325000000000003</v>
      </c>
      <c r="D45" s="301">
        <v>30</v>
      </c>
      <c r="E45" s="301">
        <v>15</v>
      </c>
      <c r="F45" s="301">
        <v>30</v>
      </c>
      <c r="G45" s="321">
        <f t="shared" si="1"/>
        <v>36.889025514909314</v>
      </c>
      <c r="H45" s="321">
        <f t="shared" si="2"/>
        <v>50</v>
      </c>
      <c r="I45" s="321">
        <f t="shared" si="3"/>
        <v>100</v>
      </c>
      <c r="J45" s="303">
        <v>30</v>
      </c>
      <c r="K45" s="325"/>
      <c r="L45" s="325"/>
    </row>
    <row r="46" spans="1:12" s="323" customFormat="1" ht="23.25" customHeight="1">
      <c r="A46" s="324">
        <v>13</v>
      </c>
      <c r="B46" s="322" t="s">
        <v>624</v>
      </c>
      <c r="C46" s="320">
        <v>2669.4</v>
      </c>
      <c r="D46" s="301">
        <v>208</v>
      </c>
      <c r="E46" s="301">
        <v>945.5</v>
      </c>
      <c r="F46" s="301">
        <v>1080</v>
      </c>
      <c r="G46" s="321">
        <f t="shared" si="1"/>
        <v>40.458530006743089</v>
      </c>
      <c r="H46" s="321">
        <f t="shared" si="2"/>
        <v>454.56730769230768</v>
      </c>
      <c r="I46" s="321">
        <f t="shared" si="3"/>
        <v>519.23076923076928</v>
      </c>
      <c r="J46" s="303">
        <v>513</v>
      </c>
      <c r="K46" s="325"/>
      <c r="L46" s="325"/>
    </row>
    <row r="47" spans="1:12" s="323" customFormat="1" ht="23.25" customHeight="1">
      <c r="A47" s="324">
        <v>14</v>
      </c>
      <c r="B47" s="322" t="s">
        <v>625</v>
      </c>
      <c r="C47" s="320">
        <v>0</v>
      </c>
      <c r="D47" s="301">
        <v>0</v>
      </c>
      <c r="E47" s="301">
        <v>0</v>
      </c>
      <c r="F47" s="301">
        <v>0</v>
      </c>
      <c r="G47" s="321" t="e">
        <f t="shared" si="1"/>
        <v>#DIV/0!</v>
      </c>
      <c r="H47" s="321"/>
      <c r="I47" s="321"/>
      <c r="J47" s="303">
        <v>0</v>
      </c>
      <c r="K47" s="325"/>
      <c r="L47" s="325"/>
    </row>
    <row r="48" spans="1:12" s="319" customFormat="1" ht="27" customHeight="1">
      <c r="A48" s="314" t="s">
        <v>22</v>
      </c>
      <c r="B48" s="315" t="s">
        <v>632</v>
      </c>
      <c r="C48" s="316">
        <f>SUM(C49:C50)</f>
        <v>210243</v>
      </c>
      <c r="D48" s="309">
        <f t="shared" ref="D48:L48" si="9">SUM(D49:D50)</f>
        <v>213933</v>
      </c>
      <c r="E48" s="309">
        <f t="shared" si="9"/>
        <v>104468</v>
      </c>
      <c r="F48" s="309">
        <f>SUM(F49:F50)</f>
        <v>214713</v>
      </c>
      <c r="G48" s="317">
        <f t="shared" si="1"/>
        <v>102.12611121416646</v>
      </c>
      <c r="H48" s="317">
        <f t="shared" si="2"/>
        <v>48.832110988019615</v>
      </c>
      <c r="I48" s="317">
        <f t="shared" si="3"/>
        <v>100.36460013181696</v>
      </c>
      <c r="J48" s="311">
        <f>SUM(J49:J50)</f>
        <v>245512</v>
      </c>
      <c r="K48" s="316" t="e">
        <f t="shared" si="9"/>
        <v>#REF!</v>
      </c>
      <c r="L48" s="316" t="e">
        <f t="shared" si="9"/>
        <v>#REF!</v>
      </c>
    </row>
    <row r="49" spans="1:12" s="323" customFormat="1" ht="21" customHeight="1">
      <c r="A49" s="324">
        <v>1</v>
      </c>
      <c r="B49" s="322" t="s">
        <v>633</v>
      </c>
      <c r="C49" s="320">
        <f>161991</f>
        <v>161991</v>
      </c>
      <c r="D49" s="301">
        <v>164750</v>
      </c>
      <c r="E49" s="301">
        <v>69000</v>
      </c>
      <c r="F49" s="301">
        <f>D49</f>
        <v>164750</v>
      </c>
      <c r="G49" s="321">
        <f t="shared" si="1"/>
        <v>101.70318104092202</v>
      </c>
      <c r="H49" s="321">
        <f t="shared" si="2"/>
        <v>41.881638846737481</v>
      </c>
      <c r="I49" s="321">
        <f t="shared" si="3"/>
        <v>100</v>
      </c>
      <c r="J49" s="303">
        <v>182826</v>
      </c>
      <c r="K49" s="322" t="e">
        <f>#REF!-K50-#REF!</f>
        <v>#REF!</v>
      </c>
      <c r="L49" s="322" t="e">
        <f>#REF!-L50-#REF!</f>
        <v>#REF!</v>
      </c>
    </row>
    <row r="50" spans="1:12" s="323" customFormat="1" ht="21" customHeight="1">
      <c r="A50" s="324">
        <v>2</v>
      </c>
      <c r="B50" s="322" t="s">
        <v>634</v>
      </c>
      <c r="C50" s="320">
        <v>48252</v>
      </c>
      <c r="D50" s="301">
        <f>19899+29284</f>
        <v>49183</v>
      </c>
      <c r="E50" s="301">
        <f>19899+15569</f>
        <v>35468</v>
      </c>
      <c r="F50" s="301">
        <f>20149+29814</f>
        <v>49963</v>
      </c>
      <c r="G50" s="321">
        <f t="shared" si="1"/>
        <v>103.54596700654895</v>
      </c>
      <c r="H50" s="321">
        <f t="shared" si="2"/>
        <v>72.11434845373401</v>
      </c>
      <c r="I50" s="321">
        <f t="shared" si="3"/>
        <v>101.58591383201512</v>
      </c>
      <c r="J50" s="303">
        <v>62686</v>
      </c>
      <c r="K50" s="322">
        <v>36248.423999999999</v>
      </c>
      <c r="L50" s="322">
        <v>39927.983400000005</v>
      </c>
    </row>
    <row r="51" spans="1:12" s="323" customFormat="1" ht="27" customHeight="1">
      <c r="A51" s="314" t="s">
        <v>25</v>
      </c>
      <c r="B51" s="315" t="s">
        <v>627</v>
      </c>
      <c r="C51" s="326"/>
      <c r="D51" s="327"/>
      <c r="E51" s="327"/>
      <c r="F51" s="327"/>
      <c r="G51" s="321"/>
      <c r="H51" s="321"/>
      <c r="I51" s="321"/>
      <c r="J51" s="328"/>
      <c r="K51" s="329"/>
      <c r="L51" s="329"/>
    </row>
    <row r="52" spans="1:12" s="323" customFormat="1" ht="27" customHeight="1">
      <c r="A52" s="330" t="s">
        <v>24</v>
      </c>
      <c r="B52" s="331" t="s">
        <v>628</v>
      </c>
      <c r="C52" s="332"/>
      <c r="D52" s="333"/>
      <c r="E52" s="333"/>
      <c r="F52" s="333"/>
      <c r="G52" s="334"/>
      <c r="H52" s="334"/>
      <c r="I52" s="334"/>
      <c r="J52" s="335"/>
      <c r="K52" s="336"/>
      <c r="L52" s="336"/>
    </row>
    <row r="53" spans="1:12" s="323" customFormat="1" ht="27" customHeight="1">
      <c r="A53" s="337"/>
      <c r="B53" s="338"/>
      <c r="C53" s="339"/>
      <c r="D53" s="340"/>
      <c r="E53" s="340"/>
      <c r="F53" s="340"/>
      <c r="G53" s="341"/>
      <c r="H53" s="341"/>
      <c r="I53" s="341"/>
      <c r="J53" s="342"/>
      <c r="K53" s="343"/>
      <c r="L53" s="343"/>
    </row>
  </sheetData>
  <mergeCells count="13">
    <mergeCell ref="J5:J6"/>
    <mergeCell ref="K5:K6"/>
    <mergeCell ref="L5:L6"/>
    <mergeCell ref="F1:J1"/>
    <mergeCell ref="A2:J2"/>
    <mergeCell ref="A3:J3"/>
    <mergeCell ref="A4:J4"/>
    <mergeCell ref="K4:L4"/>
    <mergeCell ref="A5:A6"/>
    <mergeCell ref="B5:B6"/>
    <mergeCell ref="C5:C6"/>
    <mergeCell ref="D5:F5"/>
    <mergeCell ref="G5:I5"/>
  </mergeCells>
  <pageMargins left="0.47244094488188981" right="0.39370078740157483" top="0.59055118110236227" bottom="0.39370078740157483" header="0.31496062992125984" footer="0.19685039370078741"/>
  <pageSetup paperSize="9" fitToHeight="0" orientation="landscape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58"/>
  <sheetViews>
    <sheetView view="pageBreakPreview" zoomScale="60" zoomScaleNormal="85" workbookViewId="0">
      <pane xSplit="2" ySplit="11" topLeftCell="C12" activePane="bottomRight" state="frozen"/>
      <selection activeCell="H40" sqref="H40"/>
      <selection pane="topRight" activeCell="H40" sqref="H40"/>
      <selection pane="bottomLeft" activeCell="H40" sqref="H40"/>
      <selection pane="bottomRight" activeCell="H40" sqref="H40"/>
    </sheetView>
  </sheetViews>
  <sheetFormatPr defaultColWidth="10" defaultRowHeight="15.6"/>
  <cols>
    <col min="1" max="1" width="6.109375" style="279" customWidth="1"/>
    <col min="2" max="2" width="46.6640625" style="279" customWidth="1"/>
    <col min="3" max="3" width="10.6640625" style="345" customWidth="1"/>
    <col min="4" max="6" width="10.6640625" style="281" customWidth="1"/>
    <col min="7" max="10" width="10.6640625" style="344" customWidth="1"/>
    <col min="11" max="11" width="0" style="282" hidden="1" customWidth="1"/>
    <col min="12" max="12" width="0" style="281" hidden="1" customWidth="1"/>
    <col min="13" max="13" width="10" style="281"/>
    <col min="14" max="16384" width="10" style="279"/>
  </cols>
  <sheetData>
    <row r="1" spans="1:13" ht="22.5" customHeight="1">
      <c r="F1" s="659" t="s">
        <v>635</v>
      </c>
      <c r="G1" s="659"/>
      <c r="H1" s="659"/>
      <c r="I1" s="659"/>
      <c r="J1" s="659"/>
    </row>
    <row r="2" spans="1:13" ht="18.600000000000001" customHeight="1">
      <c r="A2" s="660" t="s">
        <v>636</v>
      </c>
      <c r="B2" s="660"/>
      <c r="C2" s="660"/>
      <c r="D2" s="660"/>
      <c r="E2" s="660"/>
      <c r="F2" s="660"/>
      <c r="G2" s="660"/>
      <c r="H2" s="660"/>
      <c r="I2" s="660"/>
      <c r="J2" s="660"/>
    </row>
    <row r="3" spans="1:13" ht="18" customHeight="1">
      <c r="A3" s="661" t="str">
        <f>'PL1'!A3:K3</f>
        <v>(Kèm theo Báo cáo số           /BC-UBND, ngày    tháng       năm 2019 của UBND huyện Đăk Tô)</v>
      </c>
      <c r="B3" s="661"/>
      <c r="C3" s="661"/>
      <c r="D3" s="661"/>
      <c r="E3" s="661"/>
      <c r="F3" s="661"/>
      <c r="G3" s="661"/>
      <c r="H3" s="661"/>
      <c r="I3" s="661"/>
      <c r="J3" s="661"/>
    </row>
    <row r="4" spans="1:13">
      <c r="A4" s="662" t="s">
        <v>597</v>
      </c>
      <c r="B4" s="662"/>
      <c r="C4" s="662"/>
      <c r="D4" s="662"/>
      <c r="E4" s="662"/>
      <c r="F4" s="662"/>
      <c r="G4" s="662"/>
      <c r="H4" s="662"/>
      <c r="I4" s="662"/>
      <c r="J4" s="662"/>
      <c r="K4" s="663" t="s">
        <v>598</v>
      </c>
      <c r="L4" s="663"/>
    </row>
    <row r="5" spans="1:13" ht="17.399999999999999" customHeight="1">
      <c r="A5" s="664" t="s">
        <v>32</v>
      </c>
      <c r="B5" s="664" t="s">
        <v>599</v>
      </c>
      <c r="C5" s="670" t="s">
        <v>583</v>
      </c>
      <c r="D5" s="658" t="s">
        <v>582</v>
      </c>
      <c r="E5" s="658"/>
      <c r="F5" s="658"/>
      <c r="G5" s="667" t="s">
        <v>226</v>
      </c>
      <c r="H5" s="668"/>
      <c r="I5" s="669"/>
      <c r="J5" s="656" t="s">
        <v>600</v>
      </c>
      <c r="K5" s="657" t="s">
        <v>600</v>
      </c>
      <c r="L5" s="658" t="s">
        <v>601</v>
      </c>
    </row>
    <row r="6" spans="1:13" ht="42.6" customHeight="1">
      <c r="A6" s="664"/>
      <c r="B6" s="664"/>
      <c r="C6" s="671"/>
      <c r="D6" s="283" t="s">
        <v>602</v>
      </c>
      <c r="E6" s="283" t="s">
        <v>588</v>
      </c>
      <c r="F6" s="283" t="s">
        <v>603</v>
      </c>
      <c r="G6" s="284" t="s">
        <v>583</v>
      </c>
      <c r="H6" s="284" t="s">
        <v>604</v>
      </c>
      <c r="I6" s="284" t="s">
        <v>267</v>
      </c>
      <c r="J6" s="656"/>
      <c r="K6" s="657"/>
      <c r="L6" s="658"/>
    </row>
    <row r="7" spans="1:13" s="291" customFormat="1" ht="16.2">
      <c r="A7" s="285" t="s">
        <v>23</v>
      </c>
      <c r="B7" s="285" t="s">
        <v>24</v>
      </c>
      <c r="C7" s="289">
        <v>1</v>
      </c>
      <c r="D7" s="287">
        <v>2</v>
      </c>
      <c r="E7" s="287">
        <v>3</v>
      </c>
      <c r="F7" s="287">
        <v>4</v>
      </c>
      <c r="G7" s="288" t="s">
        <v>502</v>
      </c>
      <c r="H7" s="288" t="s">
        <v>503</v>
      </c>
      <c r="I7" s="288" t="s">
        <v>504</v>
      </c>
      <c r="J7" s="288">
        <v>8</v>
      </c>
      <c r="K7" s="289">
        <v>5</v>
      </c>
      <c r="L7" s="287">
        <v>6</v>
      </c>
      <c r="M7" s="290"/>
    </row>
    <row r="8" spans="1:13" ht="19.2" customHeight="1">
      <c r="A8" s="346" t="s">
        <v>23</v>
      </c>
      <c r="B8" s="347" t="s">
        <v>637</v>
      </c>
      <c r="C8" s="348">
        <v>381012</v>
      </c>
      <c r="D8" s="349">
        <v>312703</v>
      </c>
      <c r="E8" s="349">
        <v>220169</v>
      </c>
      <c r="F8" s="349">
        <v>369294</v>
      </c>
      <c r="G8" s="350">
        <f>F8/C8*100</f>
        <v>96.924506314761743</v>
      </c>
      <c r="H8" s="350">
        <f>E8/D8*100</f>
        <v>70.408342740555739</v>
      </c>
      <c r="I8" s="350">
        <f>F8/D8*100</f>
        <v>118.09736395237653</v>
      </c>
      <c r="J8" s="351">
        <v>344512</v>
      </c>
      <c r="K8" s="352">
        <f t="shared" ref="K8:L8" si="0">K9+K10+K11</f>
        <v>89177.016000000003</v>
      </c>
      <c r="L8" s="352">
        <f t="shared" si="0"/>
        <v>79409.502399999998</v>
      </c>
    </row>
    <row r="9" spans="1:13" ht="23.25" hidden="1" customHeight="1">
      <c r="A9" s="353">
        <v>1</v>
      </c>
      <c r="B9" s="354" t="s">
        <v>281</v>
      </c>
      <c r="C9" s="299">
        <f>10658.936092+65738.256219</f>
        <v>76397.192311000006</v>
      </c>
      <c r="D9" s="355">
        <v>70788</v>
      </c>
      <c r="E9" s="355"/>
      <c r="F9" s="355">
        <v>78238.5</v>
      </c>
      <c r="G9" s="356">
        <f t="shared" ref="G9:G57" si="1">F9/C9*100</f>
        <v>102.41017717183158</v>
      </c>
      <c r="H9" s="356">
        <f t="shared" ref="H9:H57" si="2">E9/D9*100</f>
        <v>0</v>
      </c>
      <c r="I9" s="356">
        <f t="shared" ref="I9:I57" si="3">F9/D9*100</f>
        <v>110.52508899813527</v>
      </c>
      <c r="J9" s="357">
        <v>75977.5</v>
      </c>
      <c r="K9" s="299">
        <v>89177.016000000003</v>
      </c>
      <c r="L9" s="299">
        <v>79409.502399999998</v>
      </c>
    </row>
    <row r="10" spans="1:13" ht="23.25" hidden="1" customHeight="1">
      <c r="A10" s="358">
        <v>2</v>
      </c>
      <c r="B10" s="354" t="s">
        <v>607</v>
      </c>
      <c r="C10" s="300"/>
      <c r="D10" s="359"/>
      <c r="E10" s="359"/>
      <c r="F10" s="359"/>
      <c r="G10" s="360" t="e">
        <f t="shared" si="1"/>
        <v>#DIV/0!</v>
      </c>
      <c r="H10" s="360" t="e">
        <f t="shared" si="2"/>
        <v>#DIV/0!</v>
      </c>
      <c r="I10" s="360" t="e">
        <f t="shared" si="3"/>
        <v>#DIV/0!</v>
      </c>
      <c r="J10" s="361"/>
      <c r="K10" s="304"/>
      <c r="L10" s="362"/>
    </row>
    <row r="11" spans="1:13" ht="3.6" hidden="1" customHeight="1">
      <c r="A11" s="353">
        <v>3</v>
      </c>
      <c r="B11" s="354" t="s">
        <v>608</v>
      </c>
      <c r="C11" s="300"/>
      <c r="D11" s="359"/>
      <c r="E11" s="359"/>
      <c r="F11" s="359"/>
      <c r="G11" s="360" t="e">
        <f t="shared" si="1"/>
        <v>#DIV/0!</v>
      </c>
      <c r="H11" s="360" t="e">
        <f t="shared" si="2"/>
        <v>#DIV/0!</v>
      </c>
      <c r="I11" s="360" t="e">
        <f t="shared" si="3"/>
        <v>#DIV/0!</v>
      </c>
      <c r="J11" s="361"/>
      <c r="K11" s="304"/>
      <c r="L11" s="362"/>
    </row>
    <row r="12" spans="1:13" ht="27" customHeight="1">
      <c r="A12" s="363" t="s">
        <v>24</v>
      </c>
      <c r="B12" s="364" t="s">
        <v>638</v>
      </c>
      <c r="C12" s="300">
        <f>C13+C42</f>
        <v>300978.36</v>
      </c>
      <c r="D12" s="301">
        <f t="shared" ref="D12:J12" si="4">D13+D42</f>
        <v>294791</v>
      </c>
      <c r="E12" s="301">
        <f t="shared" si="4"/>
        <v>164864.85999999999</v>
      </c>
      <c r="F12" s="301">
        <f t="shared" si="4"/>
        <v>299509.5</v>
      </c>
      <c r="G12" s="365">
        <f t="shared" si="1"/>
        <v>99.511971558353892</v>
      </c>
      <c r="H12" s="365">
        <f t="shared" si="2"/>
        <v>55.926015380388137</v>
      </c>
      <c r="I12" s="365">
        <f t="shared" si="3"/>
        <v>101.60062552791638</v>
      </c>
      <c r="J12" s="303">
        <f t="shared" si="4"/>
        <v>328951</v>
      </c>
      <c r="K12" s="366" t="e">
        <f>K13+K42+#REF!+#REF!</f>
        <v>#REF!</v>
      </c>
      <c r="L12" s="366" t="e">
        <f>L13+L42+#REF!+#REF!</f>
        <v>#REF!</v>
      </c>
    </row>
    <row r="13" spans="1:13" ht="21" customHeight="1">
      <c r="A13" s="363" t="s">
        <v>21</v>
      </c>
      <c r="B13" s="364" t="s">
        <v>639</v>
      </c>
      <c r="C13" s="300">
        <v>90735.360000000001</v>
      </c>
      <c r="D13" s="301">
        <v>80858</v>
      </c>
      <c r="E13" s="301">
        <v>60396.859999999993</v>
      </c>
      <c r="F13" s="301">
        <v>84796.5</v>
      </c>
      <c r="G13" s="365">
        <f t="shared" si="1"/>
        <v>93.454745757332091</v>
      </c>
      <c r="H13" s="365">
        <f t="shared" si="2"/>
        <v>74.694971431398244</v>
      </c>
      <c r="I13" s="365">
        <f t="shared" si="3"/>
        <v>104.87088476093894</v>
      </c>
      <c r="J13" s="303">
        <v>83439</v>
      </c>
      <c r="K13" s="367">
        <f>K14+K36</f>
        <v>89177.016000000003</v>
      </c>
      <c r="L13" s="367">
        <f>L14+L36</f>
        <v>79409.502399999998</v>
      </c>
    </row>
    <row r="14" spans="1:13" s="375" customFormat="1" ht="21" hidden="1" customHeight="1">
      <c r="A14" s="368">
        <v>1</v>
      </c>
      <c r="B14" s="369" t="s">
        <v>640</v>
      </c>
      <c r="C14" s="370">
        <v>10658.936092</v>
      </c>
      <c r="D14" s="371">
        <v>10297</v>
      </c>
      <c r="E14" s="371"/>
      <c r="F14" s="371">
        <v>11387.5</v>
      </c>
      <c r="G14" s="372">
        <f t="shared" si="1"/>
        <v>106.83524041903976</v>
      </c>
      <c r="H14" s="372">
        <f t="shared" si="2"/>
        <v>0</v>
      </c>
      <c r="I14" s="372">
        <f t="shared" si="3"/>
        <v>110.59046324172088</v>
      </c>
      <c r="J14" s="373">
        <v>10257</v>
      </c>
      <c r="K14" s="373">
        <v>9153</v>
      </c>
      <c r="L14" s="373">
        <v>10409</v>
      </c>
      <c r="M14" s="374"/>
    </row>
    <row r="15" spans="1:13" s="381" customFormat="1" ht="21" hidden="1" customHeight="1">
      <c r="A15" s="376" t="s">
        <v>641</v>
      </c>
      <c r="B15" s="377" t="s">
        <v>642</v>
      </c>
      <c r="C15" s="378"/>
      <c r="D15" s="371">
        <v>3850</v>
      </c>
      <c r="E15" s="379"/>
      <c r="F15" s="371">
        <v>3897</v>
      </c>
      <c r="G15" s="372" t="e">
        <f t="shared" si="1"/>
        <v>#DIV/0!</v>
      </c>
      <c r="H15" s="372">
        <f t="shared" si="2"/>
        <v>0</v>
      </c>
      <c r="I15" s="372">
        <f t="shared" si="3"/>
        <v>101.22077922077921</v>
      </c>
      <c r="J15" s="373">
        <v>5022</v>
      </c>
      <c r="K15" s="373">
        <v>3828.9999999999995</v>
      </c>
      <c r="L15" s="373">
        <v>4995</v>
      </c>
      <c r="M15" s="380"/>
    </row>
    <row r="16" spans="1:13" s="381" customFormat="1" ht="21" hidden="1" customHeight="1">
      <c r="A16" s="376" t="s">
        <v>643</v>
      </c>
      <c r="B16" s="377" t="s">
        <v>644</v>
      </c>
      <c r="C16" s="378"/>
      <c r="D16" s="371">
        <v>3200</v>
      </c>
      <c r="E16" s="379"/>
      <c r="F16" s="371">
        <v>3200</v>
      </c>
      <c r="G16" s="372" t="e">
        <f t="shared" si="1"/>
        <v>#DIV/0!</v>
      </c>
      <c r="H16" s="372">
        <f t="shared" si="2"/>
        <v>0</v>
      </c>
      <c r="I16" s="372">
        <f t="shared" si="3"/>
        <v>100</v>
      </c>
      <c r="J16" s="373">
        <v>3200</v>
      </c>
      <c r="K16" s="373">
        <v>3250</v>
      </c>
      <c r="L16" s="373">
        <v>3300</v>
      </c>
      <c r="M16" s="380"/>
    </row>
    <row r="17" spans="1:13" s="381" customFormat="1" ht="21" hidden="1" customHeight="1">
      <c r="A17" s="376" t="s">
        <v>645</v>
      </c>
      <c r="B17" s="377" t="s">
        <v>646</v>
      </c>
      <c r="C17" s="378"/>
      <c r="D17" s="371">
        <v>1380</v>
      </c>
      <c r="E17" s="379"/>
      <c r="F17" s="371">
        <v>900</v>
      </c>
      <c r="G17" s="372" t="e">
        <f t="shared" si="1"/>
        <v>#DIV/0!</v>
      </c>
      <c r="H17" s="372">
        <f t="shared" si="2"/>
        <v>0</v>
      </c>
      <c r="I17" s="372">
        <f t="shared" si="3"/>
        <v>65.217391304347828</v>
      </c>
      <c r="J17" s="373">
        <v>920</v>
      </c>
      <c r="K17" s="373">
        <v>950</v>
      </c>
      <c r="L17" s="373">
        <v>970</v>
      </c>
      <c r="M17" s="380"/>
    </row>
    <row r="18" spans="1:13" s="381" customFormat="1" ht="21" hidden="1" customHeight="1">
      <c r="A18" s="376" t="s">
        <v>647</v>
      </c>
      <c r="B18" s="377" t="s">
        <v>648</v>
      </c>
      <c r="C18" s="378"/>
      <c r="D18" s="371">
        <v>50</v>
      </c>
      <c r="E18" s="379"/>
      <c r="F18" s="371">
        <v>50</v>
      </c>
      <c r="G18" s="372" t="e">
        <f t="shared" si="1"/>
        <v>#DIV/0!</v>
      </c>
      <c r="H18" s="372">
        <f t="shared" si="2"/>
        <v>0</v>
      </c>
      <c r="I18" s="372">
        <f t="shared" si="3"/>
        <v>100</v>
      </c>
      <c r="J18" s="373">
        <v>50</v>
      </c>
      <c r="K18" s="373">
        <v>50</v>
      </c>
      <c r="L18" s="373">
        <v>50</v>
      </c>
      <c r="M18" s="380"/>
    </row>
    <row r="19" spans="1:13" s="381" customFormat="1" ht="21" hidden="1" customHeight="1">
      <c r="A19" s="376" t="s">
        <v>649</v>
      </c>
      <c r="B19" s="377" t="s">
        <v>650</v>
      </c>
      <c r="C19" s="378"/>
      <c r="D19" s="371">
        <v>50</v>
      </c>
      <c r="E19" s="379"/>
      <c r="F19" s="371">
        <v>3025</v>
      </c>
      <c r="G19" s="372" t="e">
        <f t="shared" si="1"/>
        <v>#DIV/0!</v>
      </c>
      <c r="H19" s="372">
        <f t="shared" si="2"/>
        <v>0</v>
      </c>
      <c r="I19" s="372">
        <f t="shared" si="3"/>
        <v>6050</v>
      </c>
      <c r="J19" s="373">
        <v>545</v>
      </c>
      <c r="K19" s="373">
        <v>524</v>
      </c>
      <c r="L19" s="373">
        <v>524</v>
      </c>
      <c r="M19" s="380"/>
    </row>
    <row r="20" spans="1:13" s="381" customFormat="1" ht="21" hidden="1" customHeight="1">
      <c r="A20" s="376" t="s">
        <v>651</v>
      </c>
      <c r="B20" s="377" t="s">
        <v>652</v>
      </c>
      <c r="C20" s="378"/>
      <c r="D20" s="371">
        <v>1567</v>
      </c>
      <c r="E20" s="379"/>
      <c r="F20" s="371">
        <v>265.5</v>
      </c>
      <c r="G20" s="372" t="e">
        <f t="shared" si="1"/>
        <v>#DIV/0!</v>
      </c>
      <c r="H20" s="372">
        <f t="shared" si="2"/>
        <v>0</v>
      </c>
      <c r="I20" s="372">
        <f t="shared" si="3"/>
        <v>16.94320357370772</v>
      </c>
      <c r="J20" s="373">
        <v>460</v>
      </c>
      <c r="K20" s="373">
        <v>480</v>
      </c>
      <c r="L20" s="373">
        <v>500</v>
      </c>
      <c r="M20" s="380"/>
    </row>
    <row r="21" spans="1:13" s="381" customFormat="1" ht="26.25" hidden="1" customHeight="1">
      <c r="A21" s="376" t="s">
        <v>653</v>
      </c>
      <c r="B21" s="377" t="s">
        <v>654</v>
      </c>
      <c r="C21" s="378"/>
      <c r="D21" s="371">
        <v>200</v>
      </c>
      <c r="E21" s="379"/>
      <c r="F21" s="371">
        <v>50</v>
      </c>
      <c r="G21" s="372" t="e">
        <f t="shared" si="1"/>
        <v>#DIV/0!</v>
      </c>
      <c r="H21" s="372">
        <f t="shared" si="2"/>
        <v>0</v>
      </c>
      <c r="I21" s="372">
        <f t="shared" si="3"/>
        <v>25</v>
      </c>
      <c r="J21" s="373">
        <v>60</v>
      </c>
      <c r="K21" s="373">
        <v>70</v>
      </c>
      <c r="L21" s="373">
        <v>70</v>
      </c>
      <c r="M21" s="380"/>
    </row>
    <row r="22" spans="1:13" s="381" customFormat="1" ht="21" hidden="1" customHeight="1">
      <c r="A22" s="376" t="s">
        <v>655</v>
      </c>
      <c r="B22" s="377" t="s">
        <v>656</v>
      </c>
      <c r="C22" s="378"/>
      <c r="D22" s="371">
        <v>60491</v>
      </c>
      <c r="E22" s="379"/>
      <c r="F22" s="371">
        <v>66851</v>
      </c>
      <c r="G22" s="372" t="e">
        <f t="shared" si="1"/>
        <v>#DIV/0!</v>
      </c>
      <c r="H22" s="372">
        <f t="shared" si="2"/>
        <v>0</v>
      </c>
      <c r="I22" s="372">
        <f t="shared" si="3"/>
        <v>110.5139607544924</v>
      </c>
      <c r="J22" s="373">
        <v>65720.5</v>
      </c>
      <c r="K22" s="373">
        <v>80024.016000000003</v>
      </c>
      <c r="L22" s="373">
        <v>69000.502399999998</v>
      </c>
      <c r="M22" s="380"/>
    </row>
    <row r="23" spans="1:13" s="381" customFormat="1" ht="25.5" hidden="1" customHeight="1">
      <c r="A23" s="376" t="s">
        <v>657</v>
      </c>
      <c r="B23" s="377" t="s">
        <v>658</v>
      </c>
      <c r="C23" s="378"/>
      <c r="D23" s="371">
        <v>0</v>
      </c>
      <c r="E23" s="379"/>
      <c r="F23" s="371">
        <v>0</v>
      </c>
      <c r="G23" s="372" t="e">
        <f t="shared" si="1"/>
        <v>#DIV/0!</v>
      </c>
      <c r="H23" s="372" t="e">
        <f t="shared" si="2"/>
        <v>#DIV/0!</v>
      </c>
      <c r="I23" s="372" t="e">
        <f t="shared" si="3"/>
        <v>#DIV/0!</v>
      </c>
      <c r="J23" s="373">
        <v>0</v>
      </c>
      <c r="K23" s="373">
        <v>0</v>
      </c>
      <c r="L23" s="373">
        <v>0</v>
      </c>
      <c r="M23" s="380"/>
    </row>
    <row r="24" spans="1:13" s="381" customFormat="1" ht="21" hidden="1" customHeight="1">
      <c r="A24" s="376" t="s">
        <v>659</v>
      </c>
      <c r="B24" s="377" t="s">
        <v>660</v>
      </c>
      <c r="C24" s="378"/>
      <c r="D24" s="371">
        <v>0</v>
      </c>
      <c r="E24" s="379"/>
      <c r="F24" s="371">
        <v>0</v>
      </c>
      <c r="G24" s="372" t="e">
        <f t="shared" si="1"/>
        <v>#DIV/0!</v>
      </c>
      <c r="H24" s="372" t="e">
        <f t="shared" si="2"/>
        <v>#DIV/0!</v>
      </c>
      <c r="I24" s="372" t="e">
        <f t="shared" si="3"/>
        <v>#DIV/0!</v>
      </c>
      <c r="J24" s="373">
        <v>0</v>
      </c>
      <c r="K24" s="373">
        <v>0</v>
      </c>
      <c r="L24" s="373">
        <v>0</v>
      </c>
      <c r="M24" s="380"/>
    </row>
    <row r="25" spans="1:13" s="381" customFormat="1" ht="21" hidden="1" customHeight="1">
      <c r="A25" s="376" t="s">
        <v>661</v>
      </c>
      <c r="B25" s="377" t="s">
        <v>662</v>
      </c>
      <c r="C25" s="378"/>
      <c r="D25" s="371">
        <v>0</v>
      </c>
      <c r="E25" s="379"/>
      <c r="F25" s="371">
        <v>0</v>
      </c>
      <c r="G25" s="372" t="e">
        <f t="shared" si="1"/>
        <v>#DIV/0!</v>
      </c>
      <c r="H25" s="372" t="e">
        <f t="shared" si="2"/>
        <v>#DIV/0!</v>
      </c>
      <c r="I25" s="372" t="e">
        <f t="shared" si="3"/>
        <v>#DIV/0!</v>
      </c>
      <c r="J25" s="373">
        <v>0</v>
      </c>
      <c r="K25" s="373">
        <v>0</v>
      </c>
      <c r="L25" s="373">
        <v>0</v>
      </c>
      <c r="M25" s="380"/>
    </row>
    <row r="26" spans="1:13" s="381" customFormat="1" ht="21" hidden="1" customHeight="1">
      <c r="A26" s="376" t="s">
        <v>663</v>
      </c>
      <c r="B26" s="377" t="s">
        <v>664</v>
      </c>
      <c r="C26" s="378"/>
      <c r="D26" s="371">
        <v>0</v>
      </c>
      <c r="E26" s="379"/>
      <c r="F26" s="371">
        <v>0</v>
      </c>
      <c r="G26" s="372" t="e">
        <f t="shared" si="1"/>
        <v>#DIV/0!</v>
      </c>
      <c r="H26" s="372" t="e">
        <f t="shared" si="2"/>
        <v>#DIV/0!</v>
      </c>
      <c r="I26" s="372" t="e">
        <f t="shared" si="3"/>
        <v>#DIV/0!</v>
      </c>
      <c r="J26" s="373">
        <v>0</v>
      </c>
      <c r="K26" s="373">
        <v>0</v>
      </c>
      <c r="L26" s="373">
        <v>0</v>
      </c>
      <c r="M26" s="380"/>
    </row>
    <row r="27" spans="1:13" s="381" customFormat="1" ht="28.5" hidden="1" customHeight="1">
      <c r="A27" s="376" t="s">
        <v>665</v>
      </c>
      <c r="B27" s="377" t="s">
        <v>666</v>
      </c>
      <c r="C27" s="378"/>
      <c r="D27" s="371">
        <v>0</v>
      </c>
      <c r="E27" s="379"/>
      <c r="F27" s="371">
        <v>0</v>
      </c>
      <c r="G27" s="372" t="e">
        <f t="shared" si="1"/>
        <v>#DIV/0!</v>
      </c>
      <c r="H27" s="372" t="e">
        <f t="shared" si="2"/>
        <v>#DIV/0!</v>
      </c>
      <c r="I27" s="372" t="e">
        <f t="shared" si="3"/>
        <v>#DIV/0!</v>
      </c>
      <c r="J27" s="373">
        <v>0</v>
      </c>
      <c r="K27" s="373">
        <v>0</v>
      </c>
      <c r="L27" s="373">
        <v>0</v>
      </c>
      <c r="M27" s="380"/>
    </row>
    <row r="28" spans="1:13" s="381" customFormat="1" ht="21" hidden="1" customHeight="1">
      <c r="A28" s="376" t="s">
        <v>667</v>
      </c>
      <c r="B28" s="377" t="s">
        <v>668</v>
      </c>
      <c r="C28" s="378"/>
      <c r="D28" s="371">
        <v>0</v>
      </c>
      <c r="E28" s="379"/>
      <c r="F28" s="371">
        <v>0</v>
      </c>
      <c r="G28" s="372" t="e">
        <f t="shared" si="1"/>
        <v>#DIV/0!</v>
      </c>
      <c r="H28" s="372" t="e">
        <f t="shared" si="2"/>
        <v>#DIV/0!</v>
      </c>
      <c r="I28" s="372" t="e">
        <f t="shared" si="3"/>
        <v>#DIV/0!</v>
      </c>
      <c r="J28" s="373">
        <v>0</v>
      </c>
      <c r="K28" s="373">
        <v>0</v>
      </c>
      <c r="L28" s="373">
        <v>0</v>
      </c>
      <c r="M28" s="380"/>
    </row>
    <row r="29" spans="1:13" s="381" customFormat="1" ht="27" hidden="1" customHeight="1">
      <c r="A29" s="376" t="s">
        <v>669</v>
      </c>
      <c r="B29" s="377" t="s">
        <v>670</v>
      </c>
      <c r="C29" s="378"/>
      <c r="D29" s="371">
        <v>0</v>
      </c>
      <c r="E29" s="379"/>
      <c r="F29" s="371">
        <v>0</v>
      </c>
      <c r="G29" s="372" t="e">
        <f t="shared" si="1"/>
        <v>#DIV/0!</v>
      </c>
      <c r="H29" s="372" t="e">
        <f t="shared" si="2"/>
        <v>#DIV/0!</v>
      </c>
      <c r="I29" s="372" t="e">
        <f t="shared" si="3"/>
        <v>#DIV/0!</v>
      </c>
      <c r="J29" s="373">
        <v>0</v>
      </c>
      <c r="K29" s="373">
        <v>0</v>
      </c>
      <c r="L29" s="373">
        <v>0</v>
      </c>
      <c r="M29" s="380"/>
    </row>
    <row r="30" spans="1:13" s="381" customFormat="1" ht="21" hidden="1" customHeight="1">
      <c r="A30" s="376" t="s">
        <v>671</v>
      </c>
      <c r="B30" s="377" t="s">
        <v>672</v>
      </c>
      <c r="C30" s="378"/>
      <c r="D30" s="371">
        <v>0</v>
      </c>
      <c r="E30" s="379"/>
      <c r="F30" s="371">
        <v>0</v>
      </c>
      <c r="G30" s="372" t="e">
        <f t="shared" si="1"/>
        <v>#DIV/0!</v>
      </c>
      <c r="H30" s="372" t="e">
        <f t="shared" si="2"/>
        <v>#DIV/0!</v>
      </c>
      <c r="I30" s="372" t="e">
        <f t="shared" si="3"/>
        <v>#DIV/0!</v>
      </c>
      <c r="J30" s="373">
        <v>0</v>
      </c>
      <c r="K30" s="373">
        <v>0</v>
      </c>
      <c r="L30" s="373">
        <v>0</v>
      </c>
      <c r="M30" s="380"/>
    </row>
    <row r="31" spans="1:13" s="381" customFormat="1" ht="28.5" hidden="1" customHeight="1">
      <c r="A31" s="376" t="s">
        <v>673</v>
      </c>
      <c r="B31" s="377" t="s">
        <v>674</v>
      </c>
      <c r="C31" s="378"/>
      <c r="D31" s="371">
        <v>0</v>
      </c>
      <c r="E31" s="379"/>
      <c r="F31" s="371">
        <v>0</v>
      </c>
      <c r="G31" s="372" t="e">
        <f t="shared" si="1"/>
        <v>#DIV/0!</v>
      </c>
      <c r="H31" s="372" t="e">
        <f t="shared" si="2"/>
        <v>#DIV/0!</v>
      </c>
      <c r="I31" s="372" t="e">
        <f t="shared" si="3"/>
        <v>#DIV/0!</v>
      </c>
      <c r="J31" s="373">
        <v>0</v>
      </c>
      <c r="K31" s="373">
        <v>0</v>
      </c>
      <c r="L31" s="373">
        <v>0</v>
      </c>
      <c r="M31" s="380"/>
    </row>
    <row r="32" spans="1:13" s="381" customFormat="1" ht="21" hidden="1" customHeight="1">
      <c r="A32" s="376" t="s">
        <v>675</v>
      </c>
      <c r="B32" s="377" t="s">
        <v>676</v>
      </c>
      <c r="C32" s="378"/>
      <c r="D32" s="371">
        <v>0</v>
      </c>
      <c r="E32" s="379"/>
      <c r="F32" s="371">
        <v>0</v>
      </c>
      <c r="G32" s="372" t="e">
        <f t="shared" si="1"/>
        <v>#DIV/0!</v>
      </c>
      <c r="H32" s="372" t="e">
        <f t="shared" si="2"/>
        <v>#DIV/0!</v>
      </c>
      <c r="I32" s="372" t="e">
        <f t="shared" si="3"/>
        <v>#DIV/0!</v>
      </c>
      <c r="J32" s="373">
        <v>0</v>
      </c>
      <c r="K32" s="373">
        <v>0</v>
      </c>
      <c r="L32" s="373">
        <v>0</v>
      </c>
      <c r="M32" s="380"/>
    </row>
    <row r="33" spans="1:13" s="381" customFormat="1" ht="27.75" hidden="1" customHeight="1">
      <c r="A33" s="376" t="s">
        <v>677</v>
      </c>
      <c r="B33" s="377" t="s">
        <v>678</v>
      </c>
      <c r="C33" s="378"/>
      <c r="D33" s="371">
        <v>0</v>
      </c>
      <c r="E33" s="379"/>
      <c r="F33" s="371">
        <v>0</v>
      </c>
      <c r="G33" s="372" t="e">
        <f t="shared" si="1"/>
        <v>#DIV/0!</v>
      </c>
      <c r="H33" s="372" t="e">
        <f t="shared" si="2"/>
        <v>#DIV/0!</v>
      </c>
      <c r="I33" s="372" t="e">
        <f t="shared" si="3"/>
        <v>#DIV/0!</v>
      </c>
      <c r="J33" s="373">
        <v>0</v>
      </c>
      <c r="K33" s="373">
        <v>0</v>
      </c>
      <c r="L33" s="373">
        <v>0</v>
      </c>
      <c r="M33" s="380"/>
    </row>
    <row r="34" spans="1:13" s="381" customFormat="1" ht="21" hidden="1" customHeight="1">
      <c r="A34" s="376" t="s">
        <v>679</v>
      </c>
      <c r="B34" s="377" t="s">
        <v>680</v>
      </c>
      <c r="C34" s="378"/>
      <c r="D34" s="371">
        <v>0</v>
      </c>
      <c r="E34" s="379"/>
      <c r="F34" s="371">
        <v>0</v>
      </c>
      <c r="G34" s="372" t="e">
        <f t="shared" si="1"/>
        <v>#DIV/0!</v>
      </c>
      <c r="H34" s="372" t="e">
        <f t="shared" si="2"/>
        <v>#DIV/0!</v>
      </c>
      <c r="I34" s="372" t="e">
        <f t="shared" si="3"/>
        <v>#DIV/0!</v>
      </c>
      <c r="J34" s="373">
        <v>0</v>
      </c>
      <c r="K34" s="373">
        <v>0</v>
      </c>
      <c r="L34" s="373">
        <v>0</v>
      </c>
      <c r="M34" s="380"/>
    </row>
    <row r="35" spans="1:13" s="381" customFormat="1" ht="21" hidden="1" customHeight="1">
      <c r="A35" s="376" t="s">
        <v>681</v>
      </c>
      <c r="B35" s="377" t="s">
        <v>682</v>
      </c>
      <c r="C35" s="378"/>
      <c r="D35" s="371">
        <v>0</v>
      </c>
      <c r="E35" s="379"/>
      <c r="F35" s="371">
        <v>0</v>
      </c>
      <c r="G35" s="372" t="e">
        <f t="shared" si="1"/>
        <v>#DIV/0!</v>
      </c>
      <c r="H35" s="372" t="e">
        <f t="shared" si="2"/>
        <v>#DIV/0!</v>
      </c>
      <c r="I35" s="372" t="e">
        <f t="shared" si="3"/>
        <v>#DIV/0!</v>
      </c>
      <c r="J35" s="373">
        <v>0</v>
      </c>
      <c r="K35" s="373">
        <v>0</v>
      </c>
      <c r="L35" s="373">
        <v>0</v>
      </c>
      <c r="M35" s="380"/>
    </row>
    <row r="36" spans="1:13" s="375" customFormat="1" ht="21" hidden="1" customHeight="1">
      <c r="A36" s="368">
        <v>2</v>
      </c>
      <c r="B36" s="369" t="s">
        <v>683</v>
      </c>
      <c r="C36" s="370">
        <v>65738.256219000003</v>
      </c>
      <c r="D36" s="371">
        <v>60491</v>
      </c>
      <c r="E36" s="371">
        <f t="shared" ref="E36" si="5">E13-E14</f>
        <v>60396.859999999993</v>
      </c>
      <c r="F36" s="371">
        <v>66851</v>
      </c>
      <c r="G36" s="372">
        <f t="shared" si="1"/>
        <v>101.69268831423366</v>
      </c>
      <c r="H36" s="372">
        <f t="shared" si="2"/>
        <v>99.844373543171699</v>
      </c>
      <c r="I36" s="372">
        <f t="shared" si="3"/>
        <v>110.5139607544924</v>
      </c>
      <c r="J36" s="373">
        <v>65720.5</v>
      </c>
      <c r="K36" s="373">
        <v>80024.016000000003</v>
      </c>
      <c r="L36" s="373">
        <v>69000.502399999998</v>
      </c>
      <c r="M36" s="374"/>
    </row>
    <row r="37" spans="1:13" s="381" customFormat="1" ht="30.75" hidden="1" customHeight="1">
      <c r="A37" s="376" t="s">
        <v>91</v>
      </c>
      <c r="B37" s="377" t="s">
        <v>684</v>
      </c>
      <c r="C37" s="378"/>
      <c r="D37" s="379"/>
      <c r="E37" s="379"/>
      <c r="F37" s="379"/>
      <c r="G37" s="382" t="e">
        <f t="shared" si="1"/>
        <v>#DIV/0!</v>
      </c>
      <c r="H37" s="382" t="e">
        <f t="shared" si="2"/>
        <v>#DIV/0!</v>
      </c>
      <c r="I37" s="382" t="e">
        <f t="shared" si="3"/>
        <v>#DIV/0!</v>
      </c>
      <c r="J37" s="383"/>
      <c r="K37" s="384"/>
      <c r="L37" s="385"/>
      <c r="M37" s="380"/>
    </row>
    <row r="38" spans="1:13" s="381" customFormat="1" ht="41.25" hidden="1" customHeight="1">
      <c r="A38" s="376" t="s">
        <v>95</v>
      </c>
      <c r="B38" s="377" t="s">
        <v>685</v>
      </c>
      <c r="C38" s="378"/>
      <c r="D38" s="379"/>
      <c r="E38" s="379"/>
      <c r="F38" s="379"/>
      <c r="G38" s="382" t="e">
        <f t="shared" si="1"/>
        <v>#DIV/0!</v>
      </c>
      <c r="H38" s="382" t="e">
        <f t="shared" si="2"/>
        <v>#DIV/0!</v>
      </c>
      <c r="I38" s="382" t="e">
        <f t="shared" si="3"/>
        <v>#DIV/0!</v>
      </c>
      <c r="J38" s="383"/>
      <c r="K38" s="384"/>
      <c r="L38" s="385"/>
      <c r="M38" s="380"/>
    </row>
    <row r="39" spans="1:13" s="381" customFormat="1" ht="21" hidden="1" customHeight="1">
      <c r="A39" s="376" t="s">
        <v>98</v>
      </c>
      <c r="B39" s="377" t="s">
        <v>686</v>
      </c>
      <c r="C39" s="378"/>
      <c r="D39" s="379"/>
      <c r="E39" s="379"/>
      <c r="F39" s="379"/>
      <c r="G39" s="382" t="e">
        <f t="shared" si="1"/>
        <v>#DIV/0!</v>
      </c>
      <c r="H39" s="382" t="e">
        <f t="shared" si="2"/>
        <v>#DIV/0!</v>
      </c>
      <c r="I39" s="382" t="e">
        <f t="shared" si="3"/>
        <v>#DIV/0!</v>
      </c>
      <c r="J39" s="383"/>
      <c r="K39" s="384"/>
      <c r="L39" s="385"/>
      <c r="M39" s="380"/>
    </row>
    <row r="40" spans="1:13" s="381" customFormat="1" ht="32.25" hidden="1" customHeight="1">
      <c r="A40" s="376" t="s">
        <v>149</v>
      </c>
      <c r="B40" s="377" t="s">
        <v>687</v>
      </c>
      <c r="C40" s="378"/>
      <c r="D40" s="379"/>
      <c r="E40" s="379"/>
      <c r="F40" s="379"/>
      <c r="G40" s="382" t="e">
        <f t="shared" si="1"/>
        <v>#DIV/0!</v>
      </c>
      <c r="H40" s="382" t="e">
        <f t="shared" si="2"/>
        <v>#DIV/0!</v>
      </c>
      <c r="I40" s="382" t="e">
        <f t="shared" si="3"/>
        <v>#DIV/0!</v>
      </c>
      <c r="J40" s="383"/>
      <c r="K40" s="384"/>
      <c r="L40" s="385"/>
      <c r="M40" s="380"/>
    </row>
    <row r="41" spans="1:13" s="381" customFormat="1" ht="30.75" hidden="1" customHeight="1">
      <c r="A41" s="376" t="s">
        <v>688</v>
      </c>
      <c r="B41" s="377" t="s">
        <v>689</v>
      </c>
      <c r="C41" s="378"/>
      <c r="D41" s="379"/>
      <c r="E41" s="379"/>
      <c r="F41" s="379"/>
      <c r="G41" s="382" t="e">
        <f t="shared" si="1"/>
        <v>#DIV/0!</v>
      </c>
      <c r="H41" s="382" t="e">
        <f t="shared" si="2"/>
        <v>#DIV/0!</v>
      </c>
      <c r="I41" s="382" t="e">
        <f t="shared" si="3"/>
        <v>#DIV/0!</v>
      </c>
      <c r="J41" s="383"/>
      <c r="K41" s="384"/>
      <c r="L41" s="385"/>
      <c r="M41" s="380"/>
    </row>
    <row r="42" spans="1:13" s="389" customFormat="1" ht="27" customHeight="1">
      <c r="A42" s="363" t="s">
        <v>22</v>
      </c>
      <c r="B42" s="364" t="s">
        <v>632</v>
      </c>
      <c r="C42" s="308">
        <f>SUM(C43:C44)</f>
        <v>210243</v>
      </c>
      <c r="D42" s="309">
        <f t="shared" ref="D42:L42" si="6">SUM(D43:D44)</f>
        <v>213933</v>
      </c>
      <c r="E42" s="309">
        <f t="shared" si="6"/>
        <v>104468</v>
      </c>
      <c r="F42" s="309">
        <f>SUM(F43:F44)</f>
        <v>214713</v>
      </c>
      <c r="G42" s="386">
        <f t="shared" si="1"/>
        <v>102.12611121416646</v>
      </c>
      <c r="H42" s="386">
        <f t="shared" si="2"/>
        <v>48.832110988019615</v>
      </c>
      <c r="I42" s="386">
        <f t="shared" si="3"/>
        <v>100.36460013181696</v>
      </c>
      <c r="J42" s="311">
        <f>SUM(J43:J44)</f>
        <v>245512</v>
      </c>
      <c r="K42" s="387">
        <f t="shared" si="6"/>
        <v>245993.53794000001</v>
      </c>
      <c r="L42" s="387">
        <f t="shared" si="6"/>
        <v>280251.79279400001</v>
      </c>
      <c r="M42" s="388"/>
    </row>
    <row r="43" spans="1:13" ht="21" customHeight="1">
      <c r="A43" s="353">
        <v>1</v>
      </c>
      <c r="B43" s="354" t="s">
        <v>633</v>
      </c>
      <c r="C43" s="300">
        <v>161991</v>
      </c>
      <c r="D43" s="301">
        <v>164750</v>
      </c>
      <c r="E43" s="301">
        <v>69000</v>
      </c>
      <c r="F43" s="301">
        <v>164750</v>
      </c>
      <c r="G43" s="356">
        <f t="shared" si="1"/>
        <v>101.70318104092202</v>
      </c>
      <c r="H43" s="356">
        <f t="shared" si="2"/>
        <v>41.881638846737481</v>
      </c>
      <c r="I43" s="356">
        <f t="shared" si="3"/>
        <v>100</v>
      </c>
      <c r="J43" s="357">
        <v>182826</v>
      </c>
      <c r="K43" s="299">
        <f>K45-K44-K13</f>
        <v>209745.11394000001</v>
      </c>
      <c r="L43" s="299">
        <f>L45-L44-L13</f>
        <v>240323.80939399998</v>
      </c>
    </row>
    <row r="44" spans="1:13" ht="21" customHeight="1">
      <c r="A44" s="353">
        <v>2</v>
      </c>
      <c r="B44" s="354" t="s">
        <v>634</v>
      </c>
      <c r="C44" s="300">
        <v>48252</v>
      </c>
      <c r="D44" s="301">
        <v>49183</v>
      </c>
      <c r="E44" s="301">
        <v>35468</v>
      </c>
      <c r="F44" s="301">
        <v>49963</v>
      </c>
      <c r="G44" s="390">
        <f t="shared" si="1"/>
        <v>103.54596700654895</v>
      </c>
      <c r="H44" s="390">
        <f t="shared" si="2"/>
        <v>72.11434845373401</v>
      </c>
      <c r="I44" s="390">
        <f t="shared" si="3"/>
        <v>101.58591383201512</v>
      </c>
      <c r="J44" s="357">
        <v>62686</v>
      </c>
      <c r="K44" s="366">
        <v>36248.423999999999</v>
      </c>
      <c r="L44" s="366">
        <v>39927.983400000005</v>
      </c>
    </row>
    <row r="45" spans="1:13" ht="27" customHeight="1">
      <c r="A45" s="363" t="s">
        <v>76</v>
      </c>
      <c r="B45" s="364" t="s">
        <v>690</v>
      </c>
      <c r="C45" s="300">
        <f>C46+C53</f>
        <v>274712.47800000006</v>
      </c>
      <c r="D45" s="301">
        <f t="shared" ref="D45:J45" si="7">D46+D53</f>
        <v>314730</v>
      </c>
      <c r="E45" s="301">
        <f t="shared" si="7"/>
        <v>201366</v>
      </c>
      <c r="F45" s="301">
        <f t="shared" si="7"/>
        <v>309965</v>
      </c>
      <c r="G45" s="365">
        <f t="shared" si="1"/>
        <v>112.8325157476101</v>
      </c>
      <c r="H45" s="365">
        <f t="shared" si="2"/>
        <v>63.980554761223907</v>
      </c>
      <c r="I45" s="365">
        <f t="shared" si="3"/>
        <v>98.486003876338444</v>
      </c>
      <c r="J45" s="303">
        <f t="shared" si="7"/>
        <v>328950.09999999998</v>
      </c>
      <c r="K45" s="367">
        <f t="shared" ref="K45:L45" si="8">K46+K53+K57</f>
        <v>335170.55394000001</v>
      </c>
      <c r="L45" s="367">
        <f t="shared" si="8"/>
        <v>359661.29519400001</v>
      </c>
    </row>
    <row r="46" spans="1:13" s="389" customFormat="1" ht="27" customHeight="1">
      <c r="A46" s="363" t="s">
        <v>691</v>
      </c>
      <c r="B46" s="364" t="s">
        <v>692</v>
      </c>
      <c r="C46" s="308">
        <f>C47+C48+C49+C50+C51+C52</f>
        <v>242772.76800000004</v>
      </c>
      <c r="D46" s="309">
        <f t="shared" ref="D46:L46" si="9">D47+D48+D49+D50+D51+D52</f>
        <v>252872</v>
      </c>
      <c r="E46" s="309">
        <f t="shared" si="9"/>
        <v>166013</v>
      </c>
      <c r="F46" s="309">
        <f t="shared" si="9"/>
        <v>248518</v>
      </c>
      <c r="G46" s="386">
        <f t="shared" si="1"/>
        <v>102.36650595012368</v>
      </c>
      <c r="H46" s="386">
        <f t="shared" si="2"/>
        <v>65.651001297098929</v>
      </c>
      <c r="I46" s="386">
        <f t="shared" si="3"/>
        <v>98.278180265114372</v>
      </c>
      <c r="J46" s="311">
        <f t="shared" si="9"/>
        <v>266264</v>
      </c>
      <c r="K46" s="387">
        <f>K47+K48+K49+K50+K51+K52</f>
        <v>298654.57054000004</v>
      </c>
      <c r="L46" s="387">
        <f t="shared" si="9"/>
        <v>319733.31179400004</v>
      </c>
      <c r="M46" s="388"/>
    </row>
    <row r="47" spans="1:13" ht="22.5" customHeight="1">
      <c r="A47" s="353" t="s">
        <v>21</v>
      </c>
      <c r="B47" s="354" t="s">
        <v>693</v>
      </c>
      <c r="C47" s="300">
        <f>40640.451-5004.95-6545.8-522.4-1107-7650-3950-241</f>
        <v>15619.301000000003</v>
      </c>
      <c r="D47" s="355">
        <v>13414</v>
      </c>
      <c r="E47" s="355">
        <v>7066</v>
      </c>
      <c r="F47" s="355">
        <v>15736</v>
      </c>
      <c r="G47" s="390">
        <f t="shared" si="1"/>
        <v>100.74714611108395</v>
      </c>
      <c r="H47" s="390">
        <f t="shared" si="2"/>
        <v>52.676308334575815</v>
      </c>
      <c r="I47" s="390">
        <f t="shared" si="3"/>
        <v>117.31027284926196</v>
      </c>
      <c r="J47" s="357">
        <v>12959</v>
      </c>
      <c r="K47" s="366">
        <v>25120</v>
      </c>
      <c r="L47" s="366">
        <v>12000</v>
      </c>
    </row>
    <row r="48" spans="1:13" ht="22.5" customHeight="1">
      <c r="A48" s="353" t="s">
        <v>22</v>
      </c>
      <c r="B48" s="354" t="s">
        <v>296</v>
      </c>
      <c r="C48" s="300">
        <f>246967.138-C54-C55-1156.061-100-46-3078-70-341.2</f>
        <v>227153.46700000003</v>
      </c>
      <c r="D48" s="355">
        <v>233744</v>
      </c>
      <c r="E48" s="355">
        <v>158947</v>
      </c>
      <c r="F48" s="355">
        <v>231582</v>
      </c>
      <c r="G48" s="356">
        <f t="shared" si="1"/>
        <v>101.94957755146214</v>
      </c>
      <c r="H48" s="356">
        <f t="shared" si="2"/>
        <v>68.000462043945504</v>
      </c>
      <c r="I48" s="356">
        <f t="shared" si="3"/>
        <v>99.075056472037787</v>
      </c>
      <c r="J48" s="357">
        <v>247456</v>
      </c>
      <c r="K48" s="299">
        <v>266994.67700000003</v>
      </c>
      <c r="L48" s="299">
        <v>300522.85470000003</v>
      </c>
    </row>
    <row r="49" spans="1:13" ht="22.5" hidden="1" customHeight="1">
      <c r="A49" s="353">
        <v>3</v>
      </c>
      <c r="B49" s="354" t="s">
        <v>694</v>
      </c>
      <c r="C49" s="300"/>
      <c r="D49" s="355"/>
      <c r="E49" s="355"/>
      <c r="F49" s="355"/>
      <c r="G49" s="356"/>
      <c r="H49" s="356"/>
      <c r="I49" s="356"/>
      <c r="J49" s="357"/>
      <c r="K49" s="304"/>
      <c r="L49" s="362"/>
    </row>
    <row r="50" spans="1:13" ht="22.5" hidden="1" customHeight="1">
      <c r="A50" s="353">
        <v>4</v>
      </c>
      <c r="B50" s="354" t="s">
        <v>695</v>
      </c>
      <c r="C50" s="300"/>
      <c r="D50" s="355"/>
      <c r="E50" s="355"/>
      <c r="F50" s="355"/>
      <c r="G50" s="356"/>
      <c r="H50" s="356"/>
      <c r="I50" s="356"/>
      <c r="J50" s="357"/>
      <c r="K50" s="304"/>
      <c r="L50" s="362"/>
    </row>
    <row r="51" spans="1:13" ht="22.5" customHeight="1">
      <c r="A51" s="353" t="s">
        <v>25</v>
      </c>
      <c r="B51" s="354" t="s">
        <v>696</v>
      </c>
      <c r="C51" s="300"/>
      <c r="D51" s="355">
        <v>4915</v>
      </c>
      <c r="E51" s="355"/>
      <c r="F51" s="355">
        <v>1200</v>
      </c>
      <c r="G51" s="356"/>
      <c r="H51" s="356">
        <f t="shared" si="2"/>
        <v>0</v>
      </c>
      <c r="I51" s="356">
        <f t="shared" si="3"/>
        <v>24.41505595116989</v>
      </c>
      <c r="J51" s="357">
        <v>4949</v>
      </c>
      <c r="K51" s="304">
        <v>5339.8935400000009</v>
      </c>
      <c r="L51" s="362">
        <v>6010.4570940000003</v>
      </c>
    </row>
    <row r="52" spans="1:13" ht="22.5" customHeight="1">
      <c r="A52" s="353" t="s">
        <v>29</v>
      </c>
      <c r="B52" s="354" t="s">
        <v>697</v>
      </c>
      <c r="C52" s="300"/>
      <c r="D52" s="355">
        <v>799</v>
      </c>
      <c r="E52" s="355"/>
      <c r="F52" s="355">
        <v>0</v>
      </c>
      <c r="G52" s="356"/>
      <c r="H52" s="356">
        <f t="shared" si="2"/>
        <v>0</v>
      </c>
      <c r="I52" s="356">
        <f t="shared" si="3"/>
        <v>0</v>
      </c>
      <c r="J52" s="357">
        <v>900</v>
      </c>
      <c r="K52" s="304">
        <v>1200</v>
      </c>
      <c r="L52" s="362">
        <v>1200</v>
      </c>
    </row>
    <row r="53" spans="1:13" s="389" customFormat="1" ht="27" customHeight="1">
      <c r="A53" s="363" t="s">
        <v>698</v>
      </c>
      <c r="B53" s="364" t="s">
        <v>699</v>
      </c>
      <c r="C53" s="391">
        <f>SUM(C54:C56)</f>
        <v>31939.71</v>
      </c>
      <c r="D53" s="392">
        <f t="shared" ref="D53:L53" si="10">SUM(D54:D56)</f>
        <v>61858</v>
      </c>
      <c r="E53" s="392">
        <f t="shared" si="10"/>
        <v>35353</v>
      </c>
      <c r="F53" s="392">
        <f t="shared" si="10"/>
        <v>61447</v>
      </c>
      <c r="G53" s="386">
        <f t="shared" si="1"/>
        <v>192.38433911892125</v>
      </c>
      <c r="H53" s="386">
        <f t="shared" si="2"/>
        <v>57.151863946458015</v>
      </c>
      <c r="I53" s="386">
        <f t="shared" si="3"/>
        <v>99.335575026673993</v>
      </c>
      <c r="J53" s="393">
        <f t="shared" si="10"/>
        <v>62686.1</v>
      </c>
      <c r="K53" s="394">
        <f t="shared" si="10"/>
        <v>36515.983399999997</v>
      </c>
      <c r="L53" s="394">
        <f t="shared" si="10"/>
        <v>39927.983399999997</v>
      </c>
      <c r="M53" s="388"/>
    </row>
    <row r="54" spans="1:13" ht="24.75" customHeight="1">
      <c r="A54" s="353" t="s">
        <v>21</v>
      </c>
      <c r="B54" s="354" t="s">
        <v>700</v>
      </c>
      <c r="C54" s="395">
        <f>1711+945.5+806.11</f>
        <v>3462.61</v>
      </c>
      <c r="D54" s="396">
        <f>41892-D55</f>
        <v>36096</v>
      </c>
      <c r="E54" s="396">
        <f>21971-E55</f>
        <v>20965</v>
      </c>
      <c r="F54" s="396">
        <f>41623-F55</f>
        <v>37017</v>
      </c>
      <c r="G54" s="390">
        <f t="shared" si="1"/>
        <v>1069.0490699212444</v>
      </c>
      <c r="H54" s="390">
        <f t="shared" si="2"/>
        <v>58.081227836879435</v>
      </c>
      <c r="I54" s="390">
        <f t="shared" si="3"/>
        <v>102.55152925531914</v>
      </c>
      <c r="J54" s="397">
        <v>32409.1</v>
      </c>
      <c r="K54" s="398">
        <v>10161.200000000001</v>
      </c>
      <c r="L54" s="398">
        <v>10840.2</v>
      </c>
    </row>
    <row r="55" spans="1:13" ht="24.75" customHeight="1">
      <c r="A55" s="353" t="s">
        <v>22</v>
      </c>
      <c r="B55" s="354" t="s">
        <v>701</v>
      </c>
      <c r="C55" s="395">
        <f>11559.8</f>
        <v>11559.8</v>
      </c>
      <c r="D55" s="396">
        <f>13012-5179-2037</f>
        <v>5796</v>
      </c>
      <c r="E55" s="396">
        <f>6969-5179-784</f>
        <v>1006</v>
      </c>
      <c r="F55" s="396">
        <f>12812-5179-2037-990</f>
        <v>4606</v>
      </c>
      <c r="G55" s="390">
        <f t="shared" si="1"/>
        <v>39.844980016955311</v>
      </c>
      <c r="H55" s="390">
        <f t="shared" si="2"/>
        <v>17.356797791580401</v>
      </c>
      <c r="I55" s="390">
        <f t="shared" si="3"/>
        <v>79.468599033816417</v>
      </c>
      <c r="J55" s="397">
        <v>2599</v>
      </c>
      <c r="K55" s="398">
        <v>3987.7834000000012</v>
      </c>
      <c r="L55" s="398">
        <v>3987.7834000000012</v>
      </c>
    </row>
    <row r="56" spans="1:13" ht="24.75" customHeight="1">
      <c r="A56" s="353" t="s">
        <v>25</v>
      </c>
      <c r="B56" s="354" t="s">
        <v>702</v>
      </c>
      <c r="C56" s="395">
        <v>16917.3</v>
      </c>
      <c r="D56" s="396">
        <v>19966</v>
      </c>
      <c r="E56" s="396">
        <v>13382</v>
      </c>
      <c r="F56" s="396">
        <v>19824</v>
      </c>
      <c r="G56" s="390">
        <f t="shared" si="1"/>
        <v>117.18181979393876</v>
      </c>
      <c r="H56" s="390">
        <f t="shared" si="2"/>
        <v>67.023940699188628</v>
      </c>
      <c r="I56" s="390">
        <f t="shared" si="3"/>
        <v>99.288790944605836</v>
      </c>
      <c r="J56" s="397">
        <v>27678</v>
      </c>
      <c r="K56" s="398">
        <v>22367</v>
      </c>
      <c r="L56" s="398">
        <v>25100</v>
      </c>
    </row>
    <row r="57" spans="1:13" ht="27" hidden="1" customHeight="1">
      <c r="A57" s="363" t="s">
        <v>25</v>
      </c>
      <c r="B57" s="364" t="s">
        <v>703</v>
      </c>
      <c r="C57" s="395">
        <v>35456.55487</v>
      </c>
      <c r="D57" s="396">
        <v>0</v>
      </c>
      <c r="E57" s="396">
        <v>0</v>
      </c>
      <c r="F57" s="396">
        <v>0</v>
      </c>
      <c r="G57" s="390">
        <f t="shared" si="1"/>
        <v>0</v>
      </c>
      <c r="H57" s="390" t="e">
        <f t="shared" si="2"/>
        <v>#DIV/0!</v>
      </c>
      <c r="I57" s="390" t="e">
        <f t="shared" si="3"/>
        <v>#DIV/0!</v>
      </c>
      <c r="J57" s="397">
        <v>0</v>
      </c>
      <c r="K57" s="398">
        <v>0</v>
      </c>
      <c r="L57" s="398">
        <v>0</v>
      </c>
    </row>
    <row r="58" spans="1:13" ht="9" customHeight="1">
      <c r="A58" s="399"/>
      <c r="B58" s="400"/>
      <c r="C58" s="401"/>
      <c r="D58" s="340"/>
      <c r="E58" s="340"/>
      <c r="F58" s="340"/>
      <c r="G58" s="402"/>
      <c r="H58" s="402"/>
      <c r="I58" s="402"/>
      <c r="J58" s="342"/>
      <c r="K58" s="403"/>
      <c r="L58" s="404"/>
    </row>
  </sheetData>
  <mergeCells count="13">
    <mergeCell ref="J5:J6"/>
    <mergeCell ref="K5:K6"/>
    <mergeCell ref="L5:L6"/>
    <mergeCell ref="F1:J1"/>
    <mergeCell ref="A2:J2"/>
    <mergeCell ref="A3:J3"/>
    <mergeCell ref="A4:J4"/>
    <mergeCell ref="K4:L4"/>
    <mergeCell ref="A5:A6"/>
    <mergeCell ref="B5:B6"/>
    <mergeCell ref="C5:C6"/>
    <mergeCell ref="D5:F5"/>
    <mergeCell ref="G5:I5"/>
  </mergeCells>
  <printOptions horizontalCentered="1"/>
  <pageMargins left="0.47244094488188981" right="0.39370078740157483" top="0.59055118110236227" bottom="0.39370078740157483" header="0.31496062992125984" footer="0.19685039370078741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67"/>
  <sheetViews>
    <sheetView zoomScale="70" zoomScaleNormal="70" zoomScaleSheetLayoutView="85" workbookViewId="0">
      <pane xSplit="2" ySplit="9" topLeftCell="C22" activePane="bottomRight" state="frozen"/>
      <selection activeCell="H40" sqref="H40"/>
      <selection pane="topRight" activeCell="H40" sqref="H40"/>
      <selection pane="bottomLeft" activeCell="H40" sqref="H40"/>
      <selection pane="bottomRight" activeCell="H40" sqref="H40"/>
    </sheetView>
  </sheetViews>
  <sheetFormatPr defaultRowHeight="13.2" outlineLevelRow="1"/>
  <cols>
    <col min="1" max="1" width="5.6640625" style="249" customWidth="1"/>
    <col min="2" max="2" width="40.33203125" style="249" customWidth="1"/>
    <col min="3" max="3" width="9" style="249" customWidth="1"/>
    <col min="4" max="7" width="14.5546875" style="249" customWidth="1"/>
    <col min="8" max="256" width="8.88671875" style="249"/>
    <col min="257" max="257" width="5.6640625" style="249" customWidth="1"/>
    <col min="258" max="258" width="43.88671875" style="249" customWidth="1"/>
    <col min="259" max="259" width="9" style="249" customWidth="1"/>
    <col min="260" max="263" width="14.5546875" style="249" customWidth="1"/>
    <col min="264" max="512" width="8.88671875" style="249"/>
    <col min="513" max="513" width="5.6640625" style="249" customWidth="1"/>
    <col min="514" max="514" width="43.88671875" style="249" customWidth="1"/>
    <col min="515" max="515" width="9" style="249" customWidth="1"/>
    <col min="516" max="519" width="14.5546875" style="249" customWidth="1"/>
    <col min="520" max="768" width="8.88671875" style="249"/>
    <col min="769" max="769" width="5.6640625" style="249" customWidth="1"/>
    <col min="770" max="770" width="43.88671875" style="249" customWidth="1"/>
    <col min="771" max="771" width="9" style="249" customWidth="1"/>
    <col min="772" max="775" width="14.5546875" style="249" customWidth="1"/>
    <col min="776" max="1024" width="8.88671875" style="249"/>
    <col min="1025" max="1025" width="5.6640625" style="249" customWidth="1"/>
    <col min="1026" max="1026" width="43.88671875" style="249" customWidth="1"/>
    <col min="1027" max="1027" width="9" style="249" customWidth="1"/>
    <col min="1028" max="1031" width="14.5546875" style="249" customWidth="1"/>
    <col min="1032" max="1280" width="8.88671875" style="249"/>
    <col min="1281" max="1281" width="5.6640625" style="249" customWidth="1"/>
    <col min="1282" max="1282" width="43.88671875" style="249" customWidth="1"/>
    <col min="1283" max="1283" width="9" style="249" customWidth="1"/>
    <col min="1284" max="1287" width="14.5546875" style="249" customWidth="1"/>
    <col min="1288" max="1536" width="8.88671875" style="249"/>
    <col min="1537" max="1537" width="5.6640625" style="249" customWidth="1"/>
    <col min="1538" max="1538" width="43.88671875" style="249" customWidth="1"/>
    <col min="1539" max="1539" width="9" style="249" customWidth="1"/>
    <col min="1540" max="1543" width="14.5546875" style="249" customWidth="1"/>
    <col min="1544" max="1792" width="8.88671875" style="249"/>
    <col min="1793" max="1793" width="5.6640625" style="249" customWidth="1"/>
    <col min="1794" max="1794" width="43.88671875" style="249" customWidth="1"/>
    <col min="1795" max="1795" width="9" style="249" customWidth="1"/>
    <col min="1796" max="1799" width="14.5546875" style="249" customWidth="1"/>
    <col min="1800" max="2048" width="8.88671875" style="249"/>
    <col min="2049" max="2049" width="5.6640625" style="249" customWidth="1"/>
    <col min="2050" max="2050" width="43.88671875" style="249" customWidth="1"/>
    <col min="2051" max="2051" width="9" style="249" customWidth="1"/>
    <col min="2052" max="2055" width="14.5546875" style="249" customWidth="1"/>
    <col min="2056" max="2304" width="8.88671875" style="249"/>
    <col min="2305" max="2305" width="5.6640625" style="249" customWidth="1"/>
    <col min="2306" max="2306" width="43.88671875" style="249" customWidth="1"/>
    <col min="2307" max="2307" width="9" style="249" customWidth="1"/>
    <col min="2308" max="2311" width="14.5546875" style="249" customWidth="1"/>
    <col min="2312" max="2560" width="8.88671875" style="249"/>
    <col min="2561" max="2561" width="5.6640625" style="249" customWidth="1"/>
    <col min="2562" max="2562" width="43.88671875" style="249" customWidth="1"/>
    <col min="2563" max="2563" width="9" style="249" customWidth="1"/>
    <col min="2564" max="2567" width="14.5546875" style="249" customWidth="1"/>
    <col min="2568" max="2816" width="8.88671875" style="249"/>
    <col min="2817" max="2817" width="5.6640625" style="249" customWidth="1"/>
    <col min="2818" max="2818" width="43.88671875" style="249" customWidth="1"/>
    <col min="2819" max="2819" width="9" style="249" customWidth="1"/>
    <col min="2820" max="2823" width="14.5546875" style="249" customWidth="1"/>
    <col min="2824" max="3072" width="8.88671875" style="249"/>
    <col min="3073" max="3073" width="5.6640625" style="249" customWidth="1"/>
    <col min="3074" max="3074" width="43.88671875" style="249" customWidth="1"/>
    <col min="3075" max="3075" width="9" style="249" customWidth="1"/>
    <col min="3076" max="3079" width="14.5546875" style="249" customWidth="1"/>
    <col min="3080" max="3328" width="8.88671875" style="249"/>
    <col min="3329" max="3329" width="5.6640625" style="249" customWidth="1"/>
    <col min="3330" max="3330" width="43.88671875" style="249" customWidth="1"/>
    <col min="3331" max="3331" width="9" style="249" customWidth="1"/>
    <col min="3332" max="3335" width="14.5546875" style="249" customWidth="1"/>
    <col min="3336" max="3584" width="8.88671875" style="249"/>
    <col min="3585" max="3585" width="5.6640625" style="249" customWidth="1"/>
    <col min="3586" max="3586" width="43.88671875" style="249" customWidth="1"/>
    <col min="3587" max="3587" width="9" style="249" customWidth="1"/>
    <col min="3588" max="3591" width="14.5546875" style="249" customWidth="1"/>
    <col min="3592" max="3840" width="8.88671875" style="249"/>
    <col min="3841" max="3841" width="5.6640625" style="249" customWidth="1"/>
    <col min="3842" max="3842" width="43.88671875" style="249" customWidth="1"/>
    <col min="3843" max="3843" width="9" style="249" customWidth="1"/>
    <col min="3844" max="3847" width="14.5546875" style="249" customWidth="1"/>
    <col min="3848" max="4096" width="8.88671875" style="249"/>
    <col min="4097" max="4097" width="5.6640625" style="249" customWidth="1"/>
    <col min="4098" max="4098" width="43.88671875" style="249" customWidth="1"/>
    <col min="4099" max="4099" width="9" style="249" customWidth="1"/>
    <col min="4100" max="4103" width="14.5546875" style="249" customWidth="1"/>
    <col min="4104" max="4352" width="8.88671875" style="249"/>
    <col min="4353" max="4353" width="5.6640625" style="249" customWidth="1"/>
    <col min="4354" max="4354" width="43.88671875" style="249" customWidth="1"/>
    <col min="4355" max="4355" width="9" style="249" customWidth="1"/>
    <col min="4356" max="4359" width="14.5546875" style="249" customWidth="1"/>
    <col min="4360" max="4608" width="8.88671875" style="249"/>
    <col min="4609" max="4609" width="5.6640625" style="249" customWidth="1"/>
    <col min="4610" max="4610" width="43.88671875" style="249" customWidth="1"/>
    <col min="4611" max="4611" width="9" style="249" customWidth="1"/>
    <col min="4612" max="4615" width="14.5546875" style="249" customWidth="1"/>
    <col min="4616" max="4864" width="8.88671875" style="249"/>
    <col min="4865" max="4865" width="5.6640625" style="249" customWidth="1"/>
    <col min="4866" max="4866" width="43.88671875" style="249" customWidth="1"/>
    <col min="4867" max="4867" width="9" style="249" customWidth="1"/>
    <col min="4868" max="4871" width="14.5546875" style="249" customWidth="1"/>
    <col min="4872" max="5120" width="8.88671875" style="249"/>
    <col min="5121" max="5121" width="5.6640625" style="249" customWidth="1"/>
    <col min="5122" max="5122" width="43.88671875" style="249" customWidth="1"/>
    <col min="5123" max="5123" width="9" style="249" customWidth="1"/>
    <col min="5124" max="5127" width="14.5546875" style="249" customWidth="1"/>
    <col min="5128" max="5376" width="8.88671875" style="249"/>
    <col min="5377" max="5377" width="5.6640625" style="249" customWidth="1"/>
    <col min="5378" max="5378" width="43.88671875" style="249" customWidth="1"/>
    <col min="5379" max="5379" width="9" style="249" customWidth="1"/>
    <col min="5380" max="5383" width="14.5546875" style="249" customWidth="1"/>
    <col min="5384" max="5632" width="8.88671875" style="249"/>
    <col min="5633" max="5633" width="5.6640625" style="249" customWidth="1"/>
    <col min="5634" max="5634" width="43.88671875" style="249" customWidth="1"/>
    <col min="5635" max="5635" width="9" style="249" customWidth="1"/>
    <col min="5636" max="5639" width="14.5546875" style="249" customWidth="1"/>
    <col min="5640" max="5888" width="8.88671875" style="249"/>
    <col min="5889" max="5889" width="5.6640625" style="249" customWidth="1"/>
    <col min="5890" max="5890" width="43.88671875" style="249" customWidth="1"/>
    <col min="5891" max="5891" width="9" style="249" customWidth="1"/>
    <col min="5892" max="5895" width="14.5546875" style="249" customWidth="1"/>
    <col min="5896" max="6144" width="8.88671875" style="249"/>
    <col min="6145" max="6145" width="5.6640625" style="249" customWidth="1"/>
    <col min="6146" max="6146" width="43.88671875" style="249" customWidth="1"/>
    <col min="6147" max="6147" width="9" style="249" customWidth="1"/>
    <col min="6148" max="6151" width="14.5546875" style="249" customWidth="1"/>
    <col min="6152" max="6400" width="8.88671875" style="249"/>
    <col min="6401" max="6401" width="5.6640625" style="249" customWidth="1"/>
    <col min="6402" max="6402" width="43.88671875" style="249" customWidth="1"/>
    <col min="6403" max="6403" width="9" style="249" customWidth="1"/>
    <col min="6404" max="6407" width="14.5546875" style="249" customWidth="1"/>
    <col min="6408" max="6656" width="8.88671875" style="249"/>
    <col min="6657" max="6657" width="5.6640625" style="249" customWidth="1"/>
    <col min="6658" max="6658" width="43.88671875" style="249" customWidth="1"/>
    <col min="6659" max="6659" width="9" style="249" customWidth="1"/>
    <col min="6660" max="6663" width="14.5546875" style="249" customWidth="1"/>
    <col min="6664" max="6912" width="8.88671875" style="249"/>
    <col min="6913" max="6913" width="5.6640625" style="249" customWidth="1"/>
    <col min="6914" max="6914" width="43.88671875" style="249" customWidth="1"/>
    <col min="6915" max="6915" width="9" style="249" customWidth="1"/>
    <col min="6916" max="6919" width="14.5546875" style="249" customWidth="1"/>
    <col min="6920" max="7168" width="8.88671875" style="249"/>
    <col min="7169" max="7169" width="5.6640625" style="249" customWidth="1"/>
    <col min="7170" max="7170" width="43.88671875" style="249" customWidth="1"/>
    <col min="7171" max="7171" width="9" style="249" customWidth="1"/>
    <col min="7172" max="7175" width="14.5546875" style="249" customWidth="1"/>
    <col min="7176" max="7424" width="8.88671875" style="249"/>
    <col min="7425" max="7425" width="5.6640625" style="249" customWidth="1"/>
    <col min="7426" max="7426" width="43.88671875" style="249" customWidth="1"/>
    <col min="7427" max="7427" width="9" style="249" customWidth="1"/>
    <col min="7428" max="7431" width="14.5546875" style="249" customWidth="1"/>
    <col min="7432" max="7680" width="8.88671875" style="249"/>
    <col min="7681" max="7681" width="5.6640625" style="249" customWidth="1"/>
    <col min="7682" max="7682" width="43.88671875" style="249" customWidth="1"/>
    <col min="7683" max="7683" width="9" style="249" customWidth="1"/>
    <col min="7684" max="7687" width="14.5546875" style="249" customWidth="1"/>
    <col min="7688" max="7936" width="8.88671875" style="249"/>
    <col min="7937" max="7937" width="5.6640625" style="249" customWidth="1"/>
    <col min="7938" max="7938" width="43.88671875" style="249" customWidth="1"/>
    <col min="7939" max="7939" width="9" style="249" customWidth="1"/>
    <col min="7940" max="7943" width="14.5546875" style="249" customWidth="1"/>
    <col min="7944" max="8192" width="8.88671875" style="249"/>
    <col min="8193" max="8193" width="5.6640625" style="249" customWidth="1"/>
    <col min="8194" max="8194" width="43.88671875" style="249" customWidth="1"/>
    <col min="8195" max="8195" width="9" style="249" customWidth="1"/>
    <col min="8196" max="8199" width="14.5546875" style="249" customWidth="1"/>
    <col min="8200" max="8448" width="8.88671875" style="249"/>
    <col min="8449" max="8449" width="5.6640625" style="249" customWidth="1"/>
    <col min="8450" max="8450" width="43.88671875" style="249" customWidth="1"/>
    <col min="8451" max="8451" width="9" style="249" customWidth="1"/>
    <col min="8452" max="8455" width="14.5546875" style="249" customWidth="1"/>
    <col min="8456" max="8704" width="8.88671875" style="249"/>
    <col min="8705" max="8705" width="5.6640625" style="249" customWidth="1"/>
    <col min="8706" max="8706" width="43.88671875" style="249" customWidth="1"/>
    <col min="8707" max="8707" width="9" style="249" customWidth="1"/>
    <col min="8708" max="8711" width="14.5546875" style="249" customWidth="1"/>
    <col min="8712" max="8960" width="8.88671875" style="249"/>
    <col min="8961" max="8961" width="5.6640625" style="249" customWidth="1"/>
    <col min="8962" max="8962" width="43.88671875" style="249" customWidth="1"/>
    <col min="8963" max="8963" width="9" style="249" customWidth="1"/>
    <col min="8964" max="8967" width="14.5546875" style="249" customWidth="1"/>
    <col min="8968" max="9216" width="8.88671875" style="249"/>
    <col min="9217" max="9217" width="5.6640625" style="249" customWidth="1"/>
    <col min="9218" max="9218" width="43.88671875" style="249" customWidth="1"/>
    <col min="9219" max="9219" width="9" style="249" customWidth="1"/>
    <col min="9220" max="9223" width="14.5546875" style="249" customWidth="1"/>
    <col min="9224" max="9472" width="8.88671875" style="249"/>
    <col min="9473" max="9473" width="5.6640625" style="249" customWidth="1"/>
    <col min="9474" max="9474" width="43.88671875" style="249" customWidth="1"/>
    <col min="9475" max="9475" width="9" style="249" customWidth="1"/>
    <col min="9476" max="9479" width="14.5546875" style="249" customWidth="1"/>
    <col min="9480" max="9728" width="8.88671875" style="249"/>
    <col min="9729" max="9729" width="5.6640625" style="249" customWidth="1"/>
    <col min="9730" max="9730" width="43.88671875" style="249" customWidth="1"/>
    <col min="9731" max="9731" width="9" style="249" customWidth="1"/>
    <col min="9732" max="9735" width="14.5546875" style="249" customWidth="1"/>
    <col min="9736" max="9984" width="8.88671875" style="249"/>
    <col min="9985" max="9985" width="5.6640625" style="249" customWidth="1"/>
    <col min="9986" max="9986" width="43.88671875" style="249" customWidth="1"/>
    <col min="9987" max="9987" width="9" style="249" customWidth="1"/>
    <col min="9988" max="9991" width="14.5546875" style="249" customWidth="1"/>
    <col min="9992" max="10240" width="8.88671875" style="249"/>
    <col min="10241" max="10241" width="5.6640625" style="249" customWidth="1"/>
    <col min="10242" max="10242" width="43.88671875" style="249" customWidth="1"/>
    <col min="10243" max="10243" width="9" style="249" customWidth="1"/>
    <col min="10244" max="10247" width="14.5546875" style="249" customWidth="1"/>
    <col min="10248" max="10496" width="8.88671875" style="249"/>
    <col min="10497" max="10497" width="5.6640625" style="249" customWidth="1"/>
    <col min="10498" max="10498" width="43.88671875" style="249" customWidth="1"/>
    <col min="10499" max="10499" width="9" style="249" customWidth="1"/>
    <col min="10500" max="10503" width="14.5546875" style="249" customWidth="1"/>
    <col min="10504" max="10752" width="8.88671875" style="249"/>
    <col min="10753" max="10753" width="5.6640625" style="249" customWidth="1"/>
    <col min="10754" max="10754" width="43.88671875" style="249" customWidth="1"/>
    <col min="10755" max="10755" width="9" style="249" customWidth="1"/>
    <col min="10756" max="10759" width="14.5546875" style="249" customWidth="1"/>
    <col min="10760" max="11008" width="8.88671875" style="249"/>
    <col min="11009" max="11009" width="5.6640625" style="249" customWidth="1"/>
    <col min="11010" max="11010" width="43.88671875" style="249" customWidth="1"/>
    <col min="11011" max="11011" width="9" style="249" customWidth="1"/>
    <col min="11012" max="11015" width="14.5546875" style="249" customWidth="1"/>
    <col min="11016" max="11264" width="8.88671875" style="249"/>
    <col min="11265" max="11265" width="5.6640625" style="249" customWidth="1"/>
    <col min="11266" max="11266" width="43.88671875" style="249" customWidth="1"/>
    <col min="11267" max="11267" width="9" style="249" customWidth="1"/>
    <col min="11268" max="11271" width="14.5546875" style="249" customWidth="1"/>
    <col min="11272" max="11520" width="8.88671875" style="249"/>
    <col min="11521" max="11521" width="5.6640625" style="249" customWidth="1"/>
    <col min="11522" max="11522" width="43.88671875" style="249" customWidth="1"/>
    <col min="11523" max="11523" width="9" style="249" customWidth="1"/>
    <col min="11524" max="11527" width="14.5546875" style="249" customWidth="1"/>
    <col min="11528" max="11776" width="8.88671875" style="249"/>
    <col min="11777" max="11777" width="5.6640625" style="249" customWidth="1"/>
    <col min="11778" max="11778" width="43.88671875" style="249" customWidth="1"/>
    <col min="11779" max="11779" width="9" style="249" customWidth="1"/>
    <col min="11780" max="11783" width="14.5546875" style="249" customWidth="1"/>
    <col min="11784" max="12032" width="8.88671875" style="249"/>
    <col min="12033" max="12033" width="5.6640625" style="249" customWidth="1"/>
    <col min="12034" max="12034" width="43.88671875" style="249" customWidth="1"/>
    <col min="12035" max="12035" width="9" style="249" customWidth="1"/>
    <col min="12036" max="12039" width="14.5546875" style="249" customWidth="1"/>
    <col min="12040" max="12288" width="8.88671875" style="249"/>
    <col min="12289" max="12289" width="5.6640625" style="249" customWidth="1"/>
    <col min="12290" max="12290" width="43.88671875" style="249" customWidth="1"/>
    <col min="12291" max="12291" width="9" style="249" customWidth="1"/>
    <col min="12292" max="12295" width="14.5546875" style="249" customWidth="1"/>
    <col min="12296" max="12544" width="8.88671875" style="249"/>
    <col min="12545" max="12545" width="5.6640625" style="249" customWidth="1"/>
    <col min="12546" max="12546" width="43.88671875" style="249" customWidth="1"/>
    <col min="12547" max="12547" width="9" style="249" customWidth="1"/>
    <col min="12548" max="12551" width="14.5546875" style="249" customWidth="1"/>
    <col min="12552" max="12800" width="8.88671875" style="249"/>
    <col min="12801" max="12801" width="5.6640625" style="249" customWidth="1"/>
    <col min="12802" max="12802" width="43.88671875" style="249" customWidth="1"/>
    <col min="12803" max="12803" width="9" style="249" customWidth="1"/>
    <col min="12804" max="12807" width="14.5546875" style="249" customWidth="1"/>
    <col min="12808" max="13056" width="8.88671875" style="249"/>
    <col min="13057" max="13057" width="5.6640625" style="249" customWidth="1"/>
    <col min="13058" max="13058" width="43.88671875" style="249" customWidth="1"/>
    <col min="13059" max="13059" width="9" style="249" customWidth="1"/>
    <col min="13060" max="13063" width="14.5546875" style="249" customWidth="1"/>
    <col min="13064" max="13312" width="8.88671875" style="249"/>
    <col min="13313" max="13313" width="5.6640625" style="249" customWidth="1"/>
    <col min="13314" max="13314" width="43.88671875" style="249" customWidth="1"/>
    <col min="13315" max="13315" width="9" style="249" customWidth="1"/>
    <col min="13316" max="13319" width="14.5546875" style="249" customWidth="1"/>
    <col min="13320" max="13568" width="8.88671875" style="249"/>
    <col min="13569" max="13569" width="5.6640625" style="249" customWidth="1"/>
    <col min="13570" max="13570" width="43.88671875" style="249" customWidth="1"/>
    <col min="13571" max="13571" width="9" style="249" customWidth="1"/>
    <col min="13572" max="13575" width="14.5546875" style="249" customWidth="1"/>
    <col min="13576" max="13824" width="8.88671875" style="249"/>
    <col min="13825" max="13825" width="5.6640625" style="249" customWidth="1"/>
    <col min="13826" max="13826" width="43.88671875" style="249" customWidth="1"/>
    <col min="13827" max="13827" width="9" style="249" customWidth="1"/>
    <col min="13828" max="13831" width="14.5546875" style="249" customWidth="1"/>
    <col min="13832" max="14080" width="8.88671875" style="249"/>
    <col min="14081" max="14081" width="5.6640625" style="249" customWidth="1"/>
    <col min="14082" max="14082" width="43.88671875" style="249" customWidth="1"/>
    <col min="14083" max="14083" width="9" style="249" customWidth="1"/>
    <col min="14084" max="14087" width="14.5546875" style="249" customWidth="1"/>
    <col min="14088" max="14336" width="8.88671875" style="249"/>
    <col min="14337" max="14337" width="5.6640625" style="249" customWidth="1"/>
    <col min="14338" max="14338" width="43.88671875" style="249" customWidth="1"/>
    <col min="14339" max="14339" width="9" style="249" customWidth="1"/>
    <col min="14340" max="14343" width="14.5546875" style="249" customWidth="1"/>
    <col min="14344" max="14592" width="8.88671875" style="249"/>
    <col min="14593" max="14593" width="5.6640625" style="249" customWidth="1"/>
    <col min="14594" max="14594" width="43.88671875" style="249" customWidth="1"/>
    <col min="14595" max="14595" width="9" style="249" customWidth="1"/>
    <col min="14596" max="14599" width="14.5546875" style="249" customWidth="1"/>
    <col min="14600" max="14848" width="8.88671875" style="249"/>
    <col min="14849" max="14849" width="5.6640625" style="249" customWidth="1"/>
    <col min="14850" max="14850" width="43.88671875" style="249" customWidth="1"/>
    <col min="14851" max="14851" width="9" style="249" customWidth="1"/>
    <col min="14852" max="14855" width="14.5546875" style="249" customWidth="1"/>
    <col min="14856" max="15104" width="8.88671875" style="249"/>
    <col min="15105" max="15105" width="5.6640625" style="249" customWidth="1"/>
    <col min="15106" max="15106" width="43.88671875" style="249" customWidth="1"/>
    <col min="15107" max="15107" width="9" style="249" customWidth="1"/>
    <col min="15108" max="15111" width="14.5546875" style="249" customWidth="1"/>
    <col min="15112" max="15360" width="8.88671875" style="249"/>
    <col min="15361" max="15361" width="5.6640625" style="249" customWidth="1"/>
    <col min="15362" max="15362" width="43.88671875" style="249" customWidth="1"/>
    <col min="15363" max="15363" width="9" style="249" customWidth="1"/>
    <col min="15364" max="15367" width="14.5546875" style="249" customWidth="1"/>
    <col min="15368" max="15616" width="8.88671875" style="249"/>
    <col min="15617" max="15617" width="5.6640625" style="249" customWidth="1"/>
    <col min="15618" max="15618" width="43.88671875" style="249" customWidth="1"/>
    <col min="15619" max="15619" width="9" style="249" customWidth="1"/>
    <col min="15620" max="15623" width="14.5546875" style="249" customWidth="1"/>
    <col min="15624" max="15872" width="8.88671875" style="249"/>
    <col min="15873" max="15873" width="5.6640625" style="249" customWidth="1"/>
    <col min="15874" max="15874" width="43.88671875" style="249" customWidth="1"/>
    <col min="15875" max="15875" width="9" style="249" customWidth="1"/>
    <col min="15876" max="15879" width="14.5546875" style="249" customWidth="1"/>
    <col min="15880" max="16128" width="8.88671875" style="249"/>
    <col min="16129" max="16129" width="5.6640625" style="249" customWidth="1"/>
    <col min="16130" max="16130" width="43.88671875" style="249" customWidth="1"/>
    <col min="16131" max="16131" width="9" style="249" customWidth="1"/>
    <col min="16132" max="16135" width="14.5546875" style="249" customWidth="1"/>
    <col min="16136" max="16384" width="8.88671875" style="249"/>
  </cols>
  <sheetData>
    <row r="1" spans="1:9" ht="15.6" outlineLevel="1">
      <c r="A1" s="643" t="s">
        <v>548</v>
      </c>
      <c r="B1" s="643"/>
      <c r="C1" s="643"/>
      <c r="D1" s="643"/>
      <c r="E1" s="643"/>
      <c r="F1" s="643"/>
      <c r="G1" s="643"/>
    </row>
    <row r="2" spans="1:9" ht="15.6" outlineLevel="1">
      <c r="A2" s="644" t="s">
        <v>549</v>
      </c>
      <c r="B2" s="644"/>
      <c r="C2" s="644"/>
      <c r="D2" s="644"/>
      <c r="E2" s="644"/>
      <c r="F2" s="644"/>
      <c r="G2" s="644"/>
    </row>
    <row r="3" spans="1:9" ht="15.6" outlineLevel="1">
      <c r="A3" s="645" t="str">
        <f>'PL1'!A3:K3</f>
        <v>(Kèm theo Báo cáo số           /BC-UBND, ngày    tháng       năm 2019 của UBND huyện Đăk Tô)</v>
      </c>
      <c r="B3" s="645"/>
      <c r="C3" s="645"/>
      <c r="D3" s="645"/>
      <c r="E3" s="645"/>
      <c r="F3" s="645"/>
      <c r="G3" s="645"/>
    </row>
    <row r="4" spans="1:9" ht="15.6" outlineLevel="1">
      <c r="A4" s="6"/>
      <c r="B4" s="250"/>
      <c r="C4" s="250"/>
      <c r="D4" s="250"/>
      <c r="E4" s="250"/>
      <c r="F4" s="250"/>
      <c r="G4" s="250"/>
    </row>
    <row r="5" spans="1:9" ht="15.75" customHeight="1">
      <c r="A5" s="646" t="s">
        <v>32</v>
      </c>
      <c r="B5" s="646" t="s">
        <v>501</v>
      </c>
      <c r="C5" s="646" t="s">
        <v>4</v>
      </c>
      <c r="D5" s="646" t="s">
        <v>579</v>
      </c>
      <c r="E5" s="646" t="s">
        <v>590</v>
      </c>
      <c r="F5" s="647" t="s">
        <v>587</v>
      </c>
      <c r="G5" s="651" t="s">
        <v>593</v>
      </c>
      <c r="H5" s="405"/>
    </row>
    <row r="6" spans="1:9" ht="12.75" customHeight="1">
      <c r="A6" s="646"/>
      <c r="B6" s="646"/>
      <c r="C6" s="646"/>
      <c r="D6" s="646"/>
      <c r="E6" s="646"/>
      <c r="F6" s="648"/>
      <c r="G6" s="652"/>
    </row>
    <row r="7" spans="1:9" ht="10.5" customHeight="1">
      <c r="A7" s="646"/>
      <c r="B7" s="646"/>
      <c r="C7" s="646"/>
      <c r="D7" s="646"/>
      <c r="E7" s="646"/>
      <c r="F7" s="649"/>
      <c r="G7" s="653"/>
    </row>
    <row r="8" spans="1:9" ht="15.6">
      <c r="A8" s="251" t="s">
        <v>23</v>
      </c>
      <c r="B8" s="252" t="s">
        <v>24</v>
      </c>
      <c r="C8" s="252" t="s">
        <v>76</v>
      </c>
      <c r="D8" s="253">
        <v>1</v>
      </c>
      <c r="E8" s="253">
        <v>2</v>
      </c>
      <c r="F8" s="253">
        <v>3</v>
      </c>
      <c r="G8" s="253">
        <v>4</v>
      </c>
    </row>
    <row r="9" spans="1:9" ht="15.6">
      <c r="A9" s="64" t="s">
        <v>23</v>
      </c>
      <c r="B9" s="255" t="s">
        <v>102</v>
      </c>
      <c r="C9" s="261"/>
      <c r="D9" s="256"/>
      <c r="E9" s="256"/>
      <c r="F9" s="256"/>
      <c r="G9" s="256"/>
    </row>
    <row r="10" spans="1:9" ht="15.6">
      <c r="A10" s="262" t="s">
        <v>21</v>
      </c>
      <c r="B10" s="263" t="s">
        <v>550</v>
      </c>
      <c r="C10" s="9" t="s">
        <v>20</v>
      </c>
      <c r="D10" s="264" t="e">
        <f t="shared" ref="D10" si="0">D14+D33+D36+D40+D43</f>
        <v>#REF!</v>
      </c>
      <c r="E10" s="264" t="e">
        <f t="shared" ref="E10" si="1">E14+E33+E36+E40+E43</f>
        <v>#REF!</v>
      </c>
      <c r="F10" s="264" t="e">
        <f t="shared" ref="F10" si="2">F14+F33+F36+F40+F43</f>
        <v>#REF!</v>
      </c>
      <c r="G10" s="264" t="e">
        <f t="shared" ref="G10" si="3">G14+G33+G36+G40+G43</f>
        <v>#REF!</v>
      </c>
      <c r="H10" s="277"/>
      <c r="I10" s="277"/>
    </row>
    <row r="11" spans="1:9" ht="15.6">
      <c r="A11" s="1" t="s">
        <v>33</v>
      </c>
      <c r="B11" s="123" t="s">
        <v>551</v>
      </c>
      <c r="C11" s="9" t="s">
        <v>47</v>
      </c>
      <c r="D11" s="13" t="e">
        <f>#REF!</f>
        <v>#REF!</v>
      </c>
      <c r="E11" s="13" t="e">
        <f>#REF!</f>
        <v>#REF!</v>
      </c>
      <c r="F11" s="13" t="e">
        <f>#REF!</f>
        <v>#REF!</v>
      </c>
      <c r="G11" s="13" t="e">
        <f>#REF!</f>
        <v>#REF!</v>
      </c>
    </row>
    <row r="12" spans="1:9" ht="15.6">
      <c r="A12" s="1"/>
      <c r="B12" s="170" t="s">
        <v>552</v>
      </c>
      <c r="C12" s="18" t="s">
        <v>27</v>
      </c>
      <c r="D12" s="19" t="e">
        <f>#REF!</f>
        <v>#REF!</v>
      </c>
      <c r="E12" s="19" t="e">
        <f>#REF!</f>
        <v>#REF!</v>
      </c>
      <c r="F12" s="19" t="e">
        <f>#REF!</f>
        <v>#REF!</v>
      </c>
      <c r="G12" s="19" t="e">
        <f>#REF!</f>
        <v>#REF!</v>
      </c>
    </row>
    <row r="13" spans="1:9" ht="15.6">
      <c r="A13" s="1" t="s">
        <v>33</v>
      </c>
      <c r="B13" s="123" t="s">
        <v>553</v>
      </c>
      <c r="C13" s="18"/>
      <c r="D13" s="259"/>
      <c r="E13" s="259"/>
      <c r="F13" s="259"/>
      <c r="G13" s="259"/>
    </row>
    <row r="14" spans="1:9" ht="15.6">
      <c r="A14" s="8">
        <v>1</v>
      </c>
      <c r="B14" s="123" t="s">
        <v>7</v>
      </c>
      <c r="C14" s="9" t="s">
        <v>20</v>
      </c>
      <c r="D14" s="47" t="e">
        <f t="shared" ref="D14" si="4">D15+D30</f>
        <v>#REF!</v>
      </c>
      <c r="E14" s="47" t="e">
        <f t="shared" ref="E14" si="5">E15+E30</f>
        <v>#REF!</v>
      </c>
      <c r="F14" s="47" t="e">
        <f t="shared" ref="F14" si="6">F15+F30</f>
        <v>#REF!</v>
      </c>
      <c r="G14" s="47" t="e">
        <f t="shared" ref="G14" si="7">G15+G30</f>
        <v>#REF!</v>
      </c>
    </row>
    <row r="15" spans="1:9" ht="15.6">
      <c r="A15" s="8" t="s">
        <v>17</v>
      </c>
      <c r="B15" s="123" t="s">
        <v>191</v>
      </c>
      <c r="C15" s="9" t="s">
        <v>20</v>
      </c>
      <c r="D15" s="13" t="e">
        <f t="shared" ref="D15" si="8">D18+D21</f>
        <v>#REF!</v>
      </c>
      <c r="E15" s="13" t="e">
        <f t="shared" ref="E15" si="9">E18+E21</f>
        <v>#REF!</v>
      </c>
      <c r="F15" s="13" t="e">
        <f t="shared" ref="F15" si="10">F18+F21</f>
        <v>#REF!</v>
      </c>
      <c r="G15" s="13" t="e">
        <f t="shared" ref="G15" si="11">G18+G21</f>
        <v>#REF!</v>
      </c>
    </row>
    <row r="16" spans="1:9" ht="15.6">
      <c r="A16" s="16"/>
      <c r="B16" s="32" t="s">
        <v>11</v>
      </c>
      <c r="C16" s="18" t="s">
        <v>6</v>
      </c>
      <c r="D16" s="30" t="e">
        <f t="shared" ref="D16" si="12">D17/D15*10</f>
        <v>#REF!</v>
      </c>
      <c r="E16" s="30" t="e">
        <f t="shared" ref="E16" si="13">E17/E15*10</f>
        <v>#REF!</v>
      </c>
      <c r="F16" s="30" t="e">
        <f t="shared" ref="F16" si="14">F17/F15*10</f>
        <v>#REF!</v>
      </c>
      <c r="G16" s="30" t="e">
        <f t="shared" ref="G16" si="15">G17/G15*10</f>
        <v>#REF!</v>
      </c>
    </row>
    <row r="17" spans="1:7" ht="15.6">
      <c r="A17" s="16"/>
      <c r="B17" s="32" t="s">
        <v>12</v>
      </c>
      <c r="C17" s="18" t="s">
        <v>47</v>
      </c>
      <c r="D17" s="19" t="e">
        <f t="shared" ref="D17" si="16">D20+D23</f>
        <v>#REF!</v>
      </c>
      <c r="E17" s="19" t="e">
        <f t="shared" ref="E17" si="17">E20+E23</f>
        <v>#REF!</v>
      </c>
      <c r="F17" s="19" t="e">
        <f t="shared" ref="F17" si="18">F20+F23</f>
        <v>#REF!</v>
      </c>
      <c r="G17" s="19" t="e">
        <f t="shared" ref="G17" si="19">G20+G23</f>
        <v>#REF!</v>
      </c>
    </row>
    <row r="18" spans="1:7" s="275" customFormat="1" ht="15.6">
      <c r="A18" s="62"/>
      <c r="B18" s="265" t="s">
        <v>192</v>
      </c>
      <c r="C18" s="9" t="s">
        <v>20</v>
      </c>
      <c r="D18" s="47" t="e">
        <f>#REF!</f>
        <v>#REF!</v>
      </c>
      <c r="E18" s="47" t="e">
        <f>#REF!</f>
        <v>#REF!</v>
      </c>
      <c r="F18" s="47" t="e">
        <f>#REF!</f>
        <v>#REF!</v>
      </c>
      <c r="G18" s="47" t="e">
        <f>#REF!</f>
        <v>#REF!</v>
      </c>
    </row>
    <row r="19" spans="1:7" ht="15.6">
      <c r="A19" s="16"/>
      <c r="B19" s="32" t="s">
        <v>11</v>
      </c>
      <c r="C19" s="18" t="s">
        <v>6</v>
      </c>
      <c r="D19" s="48" t="e">
        <f>#REF!</f>
        <v>#REF!</v>
      </c>
      <c r="E19" s="48" t="e">
        <f>#REF!</f>
        <v>#REF!</v>
      </c>
      <c r="F19" s="48" t="e">
        <f>#REF!</f>
        <v>#REF!</v>
      </c>
      <c r="G19" s="48" t="e">
        <f>#REF!</f>
        <v>#REF!</v>
      </c>
    </row>
    <row r="20" spans="1:7" ht="15.6">
      <c r="A20" s="16"/>
      <c r="B20" s="32" t="s">
        <v>12</v>
      </c>
      <c r="C20" s="18" t="s">
        <v>47</v>
      </c>
      <c r="D20" s="19" t="e">
        <f t="shared" ref="D20" si="20">D18*D19/10</f>
        <v>#REF!</v>
      </c>
      <c r="E20" s="19" t="e">
        <f t="shared" ref="E20" si="21">E18*E19/10</f>
        <v>#REF!</v>
      </c>
      <c r="F20" s="19" t="e">
        <f t="shared" ref="F20" si="22">F18*F19/10</f>
        <v>#REF!</v>
      </c>
      <c r="G20" s="19" t="e">
        <f t="shared" ref="G20" si="23">G18*G19/10</f>
        <v>#REF!</v>
      </c>
    </row>
    <row r="21" spans="1:7" s="275" customFormat="1" ht="15.6">
      <c r="A21" s="62"/>
      <c r="B21" s="265" t="s">
        <v>554</v>
      </c>
      <c r="C21" s="9" t="s">
        <v>20</v>
      </c>
      <c r="D21" s="24" t="e">
        <f t="shared" ref="D21" si="24">D24+D27</f>
        <v>#REF!</v>
      </c>
      <c r="E21" s="24" t="e">
        <f t="shared" ref="E21" si="25">E24+E27</f>
        <v>#REF!</v>
      </c>
      <c r="F21" s="24" t="e">
        <f t="shared" ref="F21" si="26">F24+F27</f>
        <v>#REF!</v>
      </c>
      <c r="G21" s="24" t="e">
        <f t="shared" ref="G21" si="27">G24+G27</f>
        <v>#REF!</v>
      </c>
    </row>
    <row r="22" spans="1:7" ht="15.6">
      <c r="A22" s="16"/>
      <c r="B22" s="32" t="s">
        <v>11</v>
      </c>
      <c r="C22" s="18" t="s">
        <v>6</v>
      </c>
      <c r="D22" s="25" t="e">
        <f t="shared" ref="D22" si="28">D23/D21*10</f>
        <v>#REF!</v>
      </c>
      <c r="E22" s="25" t="e">
        <f t="shared" ref="E22" si="29">E23/E21*10</f>
        <v>#REF!</v>
      </c>
      <c r="F22" s="25" t="e">
        <f t="shared" ref="F22" si="30">F23/F21*10</f>
        <v>#REF!</v>
      </c>
      <c r="G22" s="25" t="e">
        <f t="shared" ref="G22" si="31">G23/G21*10</f>
        <v>#REF!</v>
      </c>
    </row>
    <row r="23" spans="1:7" ht="15.6">
      <c r="A23" s="16"/>
      <c r="B23" s="32" t="s">
        <v>12</v>
      </c>
      <c r="C23" s="18" t="s">
        <v>47</v>
      </c>
      <c r="D23" s="26" t="e">
        <f t="shared" ref="D23" si="32">D26+D29</f>
        <v>#REF!</v>
      </c>
      <c r="E23" s="26" t="e">
        <f t="shared" ref="E23" si="33">E26+E29</f>
        <v>#REF!</v>
      </c>
      <c r="F23" s="26" t="e">
        <f t="shared" ref="F23" si="34">F26+F29</f>
        <v>#REF!</v>
      </c>
      <c r="G23" s="26" t="e">
        <f t="shared" ref="G23" si="35">G26+G29</f>
        <v>#REF!</v>
      </c>
    </row>
    <row r="24" spans="1:7" s="273" customFormat="1" ht="15.6">
      <c r="A24" s="58"/>
      <c r="B24" s="170" t="s">
        <v>555</v>
      </c>
      <c r="C24" s="33" t="s">
        <v>20</v>
      </c>
      <c r="D24" s="59" t="e">
        <f>#REF!</f>
        <v>#REF!</v>
      </c>
      <c r="E24" s="59" t="e">
        <f>#REF!</f>
        <v>#REF!</v>
      </c>
      <c r="F24" s="59" t="e">
        <f>#REF!</f>
        <v>#REF!</v>
      </c>
      <c r="G24" s="59" t="e">
        <f>#REF!</f>
        <v>#REF!</v>
      </c>
    </row>
    <row r="25" spans="1:7" ht="15.6">
      <c r="A25" s="16"/>
      <c r="B25" s="32" t="s">
        <v>556</v>
      </c>
      <c r="C25" s="18" t="s">
        <v>6</v>
      </c>
      <c r="D25" s="30" t="e">
        <f>#REF!</f>
        <v>#REF!</v>
      </c>
      <c r="E25" s="30" t="e">
        <f>#REF!</f>
        <v>#REF!</v>
      </c>
      <c r="F25" s="30" t="e">
        <f>#REF!</f>
        <v>#REF!</v>
      </c>
      <c r="G25" s="30" t="e">
        <f>#REF!</f>
        <v>#REF!</v>
      </c>
    </row>
    <row r="26" spans="1:7" ht="15.6">
      <c r="A26" s="16"/>
      <c r="B26" s="32" t="s">
        <v>225</v>
      </c>
      <c r="C26" s="18" t="s">
        <v>47</v>
      </c>
      <c r="D26" s="19" t="e">
        <f t="shared" ref="D26:E26" si="36">D24*D25/10</f>
        <v>#REF!</v>
      </c>
      <c r="E26" s="19" t="e">
        <f t="shared" si="36"/>
        <v>#REF!</v>
      </c>
      <c r="F26" s="19" t="e">
        <f t="shared" ref="F26" si="37">F24*F25/10</f>
        <v>#REF!</v>
      </c>
      <c r="G26" s="19" t="e">
        <f t="shared" ref="G26" si="38">G24*G25/10</f>
        <v>#REF!</v>
      </c>
    </row>
    <row r="27" spans="1:7" s="273" customFormat="1" ht="15.6">
      <c r="A27" s="58"/>
      <c r="B27" s="170" t="s">
        <v>557</v>
      </c>
      <c r="C27" s="33" t="s">
        <v>20</v>
      </c>
      <c r="D27" s="59" t="e">
        <f>#REF!</f>
        <v>#REF!</v>
      </c>
      <c r="E27" s="59" t="e">
        <f>#REF!</f>
        <v>#REF!</v>
      </c>
      <c r="F27" s="59" t="e">
        <f>#REF!</f>
        <v>#REF!</v>
      </c>
      <c r="G27" s="59" t="e">
        <f>#REF!</f>
        <v>#REF!</v>
      </c>
    </row>
    <row r="28" spans="1:7" ht="15.6">
      <c r="A28" s="16"/>
      <c r="B28" s="32" t="s">
        <v>556</v>
      </c>
      <c r="C28" s="18" t="s">
        <v>6</v>
      </c>
      <c r="D28" s="30" t="e">
        <f>#REF!</f>
        <v>#REF!</v>
      </c>
      <c r="E28" s="30" t="e">
        <f>#REF!</f>
        <v>#REF!</v>
      </c>
      <c r="F28" s="30" t="e">
        <f>#REF!</f>
        <v>#REF!</v>
      </c>
      <c r="G28" s="30" t="e">
        <f>#REF!</f>
        <v>#REF!</v>
      </c>
    </row>
    <row r="29" spans="1:7" ht="15.6">
      <c r="A29" s="16"/>
      <c r="B29" s="32" t="s">
        <v>225</v>
      </c>
      <c r="C29" s="18" t="s">
        <v>47</v>
      </c>
      <c r="D29" s="19" t="e">
        <f t="shared" ref="D29" si="39">D28*D27/10</f>
        <v>#REF!</v>
      </c>
      <c r="E29" s="19" t="e">
        <f t="shared" ref="E29" si="40">E28*E27/10</f>
        <v>#REF!</v>
      </c>
      <c r="F29" s="19" t="e">
        <f t="shared" ref="F29" si="41">F28*F27/10</f>
        <v>#REF!</v>
      </c>
      <c r="G29" s="19" t="e">
        <f t="shared" ref="G29" si="42">G28*G27/10</f>
        <v>#REF!</v>
      </c>
    </row>
    <row r="30" spans="1:7" s="275" customFormat="1" ht="15.6">
      <c r="A30" s="8" t="s">
        <v>18</v>
      </c>
      <c r="B30" s="123" t="s">
        <v>558</v>
      </c>
      <c r="C30" s="9" t="s">
        <v>20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</row>
    <row r="31" spans="1:7" ht="15.6">
      <c r="A31" s="1"/>
      <c r="B31" s="32" t="s">
        <v>11</v>
      </c>
      <c r="C31" s="18" t="s">
        <v>6</v>
      </c>
      <c r="D31" s="30" t="e">
        <f>#REF!</f>
        <v>#REF!</v>
      </c>
      <c r="E31" s="30" t="e">
        <f>#REF!</f>
        <v>#REF!</v>
      </c>
      <c r="F31" s="30" t="e">
        <f>#REF!</f>
        <v>#REF!</v>
      </c>
      <c r="G31" s="30" t="e">
        <f>#REF!</f>
        <v>#REF!</v>
      </c>
    </row>
    <row r="32" spans="1:7" ht="15.6">
      <c r="A32" s="1"/>
      <c r="B32" s="32" t="s">
        <v>12</v>
      </c>
      <c r="C32" s="18" t="s">
        <v>47</v>
      </c>
      <c r="D32" s="19" t="e">
        <f>#REF!</f>
        <v>#REF!</v>
      </c>
      <c r="E32" s="19" t="e">
        <f>#REF!</f>
        <v>#REF!</v>
      </c>
      <c r="F32" s="19" t="e">
        <f>#REF!</f>
        <v>#REF!</v>
      </c>
      <c r="G32" s="19" t="e">
        <f>#REF!</f>
        <v>#REF!</v>
      </c>
    </row>
    <row r="33" spans="1:7" ht="15.6">
      <c r="A33" s="8">
        <v>2</v>
      </c>
      <c r="B33" s="123" t="s">
        <v>559</v>
      </c>
      <c r="C33" s="18" t="s">
        <v>20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</row>
    <row r="34" spans="1:7" ht="15.6">
      <c r="A34" s="1"/>
      <c r="B34" s="32" t="s">
        <v>11</v>
      </c>
      <c r="C34" s="18" t="s">
        <v>6</v>
      </c>
      <c r="D34" s="30" t="e">
        <f>#REF!</f>
        <v>#REF!</v>
      </c>
      <c r="E34" s="30" t="e">
        <f>#REF!</f>
        <v>#REF!</v>
      </c>
      <c r="F34" s="30" t="e">
        <f>#REF!</f>
        <v>#REF!</v>
      </c>
      <c r="G34" s="30" t="e">
        <f>#REF!</f>
        <v>#REF!</v>
      </c>
    </row>
    <row r="35" spans="1:7" ht="15.6">
      <c r="A35" s="1"/>
      <c r="B35" s="32" t="s">
        <v>12</v>
      </c>
      <c r="C35" s="18" t="s">
        <v>47</v>
      </c>
      <c r="D35" s="19" t="e">
        <f>#REF!</f>
        <v>#REF!</v>
      </c>
      <c r="E35" s="19" t="e">
        <f>#REF!</f>
        <v>#REF!</v>
      </c>
      <c r="F35" s="19" t="e">
        <f>#REF!</f>
        <v>#REF!</v>
      </c>
      <c r="G35" s="19" t="e">
        <f>#REF!</f>
        <v>#REF!</v>
      </c>
    </row>
    <row r="36" spans="1:7" ht="15.6">
      <c r="A36" s="8">
        <v>3</v>
      </c>
      <c r="B36" s="123" t="s">
        <v>560</v>
      </c>
      <c r="C36" s="18" t="s">
        <v>20</v>
      </c>
      <c r="D36" s="240" t="e">
        <f>#REF!</f>
        <v>#REF!</v>
      </c>
      <c r="E36" s="240" t="e">
        <f>#REF!</f>
        <v>#REF!</v>
      </c>
      <c r="F36" s="240" t="e">
        <f>#REF!</f>
        <v>#REF!</v>
      </c>
      <c r="G36" s="240" t="e">
        <f>#REF!</f>
        <v>#REF!</v>
      </c>
    </row>
    <row r="37" spans="1:7" ht="15.6">
      <c r="A37" s="1"/>
      <c r="B37" s="170" t="s">
        <v>561</v>
      </c>
      <c r="C37" s="18" t="s">
        <v>27</v>
      </c>
      <c r="D37" s="30" t="e">
        <f>#REF!</f>
        <v>#REF!</v>
      </c>
      <c r="E37" s="30" t="e">
        <f>#REF!</f>
        <v>#REF!</v>
      </c>
      <c r="F37" s="30" t="e">
        <f>#REF!</f>
        <v>#REF!</v>
      </c>
      <c r="G37" s="30" t="e">
        <f>#REF!</f>
        <v>#REF!</v>
      </c>
    </row>
    <row r="38" spans="1:7" ht="15.6">
      <c r="A38" s="1"/>
      <c r="B38" s="32" t="s">
        <v>11</v>
      </c>
      <c r="C38" s="18" t="s">
        <v>6</v>
      </c>
      <c r="D38" s="19" t="e">
        <f>#REF!</f>
        <v>#REF!</v>
      </c>
      <c r="E38" s="19" t="e">
        <f>#REF!</f>
        <v>#REF!</v>
      </c>
      <c r="F38" s="19" t="e">
        <f>#REF!</f>
        <v>#REF!</v>
      </c>
      <c r="G38" s="19" t="e">
        <f>#REF!</f>
        <v>#REF!</v>
      </c>
    </row>
    <row r="39" spans="1:7" ht="15.6">
      <c r="A39" s="1"/>
      <c r="B39" s="32" t="s">
        <v>12</v>
      </c>
      <c r="C39" s="18" t="s">
        <v>47</v>
      </c>
      <c r="D39" s="19" t="e">
        <f>#REF!</f>
        <v>#REF!</v>
      </c>
      <c r="E39" s="19" t="e">
        <f>#REF!</f>
        <v>#REF!</v>
      </c>
      <c r="F39" s="19" t="e">
        <f>#REF!</f>
        <v>#REF!</v>
      </c>
      <c r="G39" s="19" t="e">
        <f>#REF!</f>
        <v>#REF!</v>
      </c>
    </row>
    <row r="40" spans="1:7" ht="15.6">
      <c r="A40" s="8">
        <v>4</v>
      </c>
      <c r="B40" s="12" t="s">
        <v>60</v>
      </c>
      <c r="C40" s="1" t="s">
        <v>20</v>
      </c>
      <c r="D40" s="13" t="e">
        <f>#REF!</f>
        <v>#REF!</v>
      </c>
      <c r="E40" s="13" t="e">
        <f>#REF!</f>
        <v>#REF!</v>
      </c>
      <c r="F40" s="13" t="e">
        <f>#REF!</f>
        <v>#REF!</v>
      </c>
      <c r="G40" s="13" t="e">
        <f>#REF!</f>
        <v>#REF!</v>
      </c>
    </row>
    <row r="41" spans="1:7" ht="15.6">
      <c r="A41" s="1"/>
      <c r="B41" s="29" t="s">
        <v>112</v>
      </c>
      <c r="C41" s="1" t="s">
        <v>6</v>
      </c>
      <c r="D41" s="30" t="e">
        <f>#REF!</f>
        <v>#REF!</v>
      </c>
      <c r="E41" s="30" t="e">
        <f>#REF!</f>
        <v>#REF!</v>
      </c>
      <c r="F41" s="30" t="e">
        <f>#REF!</f>
        <v>#REF!</v>
      </c>
      <c r="G41" s="30" t="e">
        <f>#REF!</f>
        <v>#REF!</v>
      </c>
    </row>
    <row r="42" spans="1:7" ht="15.6">
      <c r="A42" s="1"/>
      <c r="B42" s="29" t="s">
        <v>113</v>
      </c>
      <c r="C42" s="1" t="s">
        <v>47</v>
      </c>
      <c r="D42" s="19" t="e">
        <f>#REF!</f>
        <v>#REF!</v>
      </c>
      <c r="E42" s="19" t="e">
        <f>#REF!</f>
        <v>#REF!</v>
      </c>
      <c r="F42" s="19" t="e">
        <f>#REF!</f>
        <v>#REF!</v>
      </c>
      <c r="G42" s="19" t="e">
        <f>#REF!</f>
        <v>#REF!</v>
      </c>
    </row>
    <row r="43" spans="1:7" s="275" customFormat="1" ht="31.2">
      <c r="A43" s="8">
        <v>5</v>
      </c>
      <c r="B43" s="36" t="s">
        <v>179</v>
      </c>
      <c r="C43" s="8" t="s">
        <v>20</v>
      </c>
      <c r="D43" s="13" t="e">
        <f>#REF!</f>
        <v>#REF!</v>
      </c>
      <c r="E43" s="13" t="e">
        <f>#REF!</f>
        <v>#REF!</v>
      </c>
      <c r="F43" s="13" t="e">
        <f>#REF!</f>
        <v>#REF!</v>
      </c>
      <c r="G43" s="13" t="e">
        <f>#REF!</f>
        <v>#REF!</v>
      </c>
    </row>
    <row r="44" spans="1:7" s="275" customFormat="1" ht="15.6">
      <c r="A44" s="8" t="s">
        <v>22</v>
      </c>
      <c r="B44" s="123" t="s">
        <v>199</v>
      </c>
      <c r="C44" s="9"/>
      <c r="D44" s="13" t="e">
        <f t="shared" ref="D44" si="43">D45+D50</f>
        <v>#REF!</v>
      </c>
      <c r="E44" s="13" t="e">
        <f t="shared" ref="E44" si="44">E45+E50</f>
        <v>#REF!</v>
      </c>
      <c r="F44" s="13" t="e">
        <f t="shared" ref="F44" si="45">F45+F50</f>
        <v>#REF!</v>
      </c>
      <c r="G44" s="13" t="e">
        <f t="shared" ref="G44" si="46">G45+G50</f>
        <v>#REF!</v>
      </c>
    </row>
    <row r="45" spans="1:7" ht="15.6">
      <c r="A45" s="62">
        <v>1</v>
      </c>
      <c r="B45" s="123" t="s">
        <v>562</v>
      </c>
      <c r="C45" s="18" t="s">
        <v>20</v>
      </c>
      <c r="D45" s="13" t="e">
        <f>#REF!</f>
        <v>#REF!</v>
      </c>
      <c r="E45" s="13" t="e">
        <f>#REF!</f>
        <v>#REF!</v>
      </c>
      <c r="F45" s="13" t="e">
        <f>#REF!</f>
        <v>#REF!</v>
      </c>
      <c r="G45" s="13" t="e">
        <f>#REF!</f>
        <v>#REF!</v>
      </c>
    </row>
    <row r="46" spans="1:7" ht="15.6">
      <c r="A46" s="16"/>
      <c r="B46" s="170" t="s">
        <v>563</v>
      </c>
      <c r="C46" s="18" t="s">
        <v>27</v>
      </c>
      <c r="D46" s="19" t="e">
        <f>#REF!</f>
        <v>#REF!</v>
      </c>
      <c r="E46" s="19" t="e">
        <f>#REF!</f>
        <v>#REF!</v>
      </c>
      <c r="F46" s="19" t="e">
        <f>#REF!</f>
        <v>#REF!</v>
      </c>
      <c r="G46" s="19" t="e">
        <f>#REF!</f>
        <v>#REF!</v>
      </c>
    </row>
    <row r="47" spans="1:7" ht="15.6">
      <c r="A47" s="16"/>
      <c r="B47" s="170" t="s">
        <v>564</v>
      </c>
      <c r="C47" s="18" t="s">
        <v>27</v>
      </c>
      <c r="D47" s="19" t="e">
        <f>#REF!</f>
        <v>#REF!</v>
      </c>
      <c r="E47" s="19" t="e">
        <f>#REF!</f>
        <v>#REF!</v>
      </c>
      <c r="F47" s="19" t="e">
        <f>#REF!</f>
        <v>#REF!</v>
      </c>
      <c r="G47" s="19" t="e">
        <f>#REF!</f>
        <v>#REF!</v>
      </c>
    </row>
    <row r="48" spans="1:7" ht="15.6">
      <c r="A48" s="16"/>
      <c r="B48" s="32" t="s">
        <v>11</v>
      </c>
      <c r="C48" s="18" t="s">
        <v>6</v>
      </c>
      <c r="D48" s="19" t="e">
        <f>#REF!</f>
        <v>#REF!</v>
      </c>
      <c r="E48" s="19" t="e">
        <f>#REF!</f>
        <v>#REF!</v>
      </c>
      <c r="F48" s="19" t="e">
        <f>#REF!</f>
        <v>#REF!</v>
      </c>
      <c r="G48" s="19" t="e">
        <f>#REF!</f>
        <v>#REF!</v>
      </c>
    </row>
    <row r="49" spans="1:11" ht="15.6">
      <c r="A49" s="16"/>
      <c r="B49" s="32" t="s">
        <v>12</v>
      </c>
      <c r="C49" s="18" t="s">
        <v>47</v>
      </c>
      <c r="D49" s="19" t="e">
        <f>#REF!</f>
        <v>#REF!</v>
      </c>
      <c r="E49" s="19" t="e">
        <f>#REF!</f>
        <v>#REF!</v>
      </c>
      <c r="F49" s="19" t="e">
        <f>#REF!</f>
        <v>#REF!</v>
      </c>
      <c r="G49" s="19" t="e">
        <f>#REF!</f>
        <v>#REF!</v>
      </c>
    </row>
    <row r="50" spans="1:11" ht="15.6">
      <c r="A50" s="62">
        <v>2</v>
      </c>
      <c r="B50" s="123" t="s">
        <v>565</v>
      </c>
      <c r="C50" s="18" t="s">
        <v>20</v>
      </c>
      <c r="D50" s="13" t="e">
        <f>#REF!</f>
        <v>#REF!</v>
      </c>
      <c r="E50" s="13" t="e">
        <f>#REF!</f>
        <v>#REF!</v>
      </c>
      <c r="F50" s="13" t="e">
        <f>#REF!</f>
        <v>#REF!</v>
      </c>
      <c r="G50" s="13" t="e">
        <f>#REF!</f>
        <v>#REF!</v>
      </c>
    </row>
    <row r="51" spans="1:11" ht="15.6">
      <c r="A51" s="16"/>
      <c r="B51" s="170" t="s">
        <v>563</v>
      </c>
      <c r="C51" s="18" t="s">
        <v>27</v>
      </c>
      <c r="D51" s="30" t="e">
        <f>#REF!</f>
        <v>#REF!</v>
      </c>
      <c r="E51" s="30" t="e">
        <f>#REF!</f>
        <v>#REF!</v>
      </c>
      <c r="F51" s="30" t="e">
        <f>#REF!</f>
        <v>#REF!</v>
      </c>
      <c r="G51" s="30" t="e">
        <f>#REF!</f>
        <v>#REF!</v>
      </c>
    </row>
    <row r="52" spans="1:11" ht="15.6">
      <c r="A52" s="16"/>
      <c r="B52" s="170" t="s">
        <v>564</v>
      </c>
      <c r="C52" s="18" t="s">
        <v>27</v>
      </c>
      <c r="D52" s="19" t="e">
        <f>#REF!</f>
        <v>#REF!</v>
      </c>
      <c r="E52" s="19" t="e">
        <f>#REF!</f>
        <v>#REF!</v>
      </c>
      <c r="F52" s="19" t="e">
        <f>#REF!</f>
        <v>#REF!</v>
      </c>
      <c r="G52" s="19" t="e">
        <f>#REF!</f>
        <v>#REF!</v>
      </c>
    </row>
    <row r="53" spans="1:11" ht="15.6">
      <c r="A53" s="16"/>
      <c r="B53" s="32" t="s">
        <v>11</v>
      </c>
      <c r="C53" s="18" t="s">
        <v>6</v>
      </c>
      <c r="D53" s="30" t="e">
        <f>#REF!</f>
        <v>#REF!</v>
      </c>
      <c r="E53" s="30" t="e">
        <f>#REF!</f>
        <v>#REF!</v>
      </c>
      <c r="F53" s="30" t="e">
        <f>#REF!</f>
        <v>#REF!</v>
      </c>
      <c r="G53" s="30" t="e">
        <f>#REF!</f>
        <v>#REF!</v>
      </c>
    </row>
    <row r="54" spans="1:11" ht="15.6">
      <c r="A54" s="16"/>
      <c r="B54" s="32" t="s">
        <v>12</v>
      </c>
      <c r="C54" s="18" t="s">
        <v>47</v>
      </c>
      <c r="D54" s="19" t="e">
        <f>#REF!</f>
        <v>#REF!</v>
      </c>
      <c r="E54" s="19" t="e">
        <f>#REF!</f>
        <v>#REF!</v>
      </c>
      <c r="F54" s="19" t="e">
        <f>#REF!</f>
        <v>#REF!</v>
      </c>
      <c r="G54" s="19" t="e">
        <f>#REF!</f>
        <v>#REF!</v>
      </c>
    </row>
    <row r="55" spans="1:11" ht="16.5" customHeight="1">
      <c r="A55" s="8" t="s">
        <v>24</v>
      </c>
      <c r="B55" s="123" t="s">
        <v>103</v>
      </c>
      <c r="C55" s="18"/>
      <c r="D55" s="30"/>
      <c r="E55" s="30"/>
      <c r="F55" s="30"/>
      <c r="G55" s="30"/>
    </row>
    <row r="56" spans="1:11" ht="15.6">
      <c r="A56" s="1">
        <v>1</v>
      </c>
      <c r="B56" s="32" t="s">
        <v>566</v>
      </c>
      <c r="C56" s="18" t="s">
        <v>31</v>
      </c>
      <c r="D56" s="19" t="e">
        <f>#REF!</f>
        <v>#REF!</v>
      </c>
      <c r="E56" s="19" t="e">
        <f>#REF!</f>
        <v>#REF!</v>
      </c>
      <c r="F56" s="19" t="e">
        <f>#REF!</f>
        <v>#REF!</v>
      </c>
      <c r="G56" s="19" t="e">
        <f>#REF!</f>
        <v>#REF!</v>
      </c>
    </row>
    <row r="57" spans="1:11" ht="15.6">
      <c r="A57" s="1">
        <v>2</v>
      </c>
      <c r="B57" s="32" t="s">
        <v>567</v>
      </c>
      <c r="C57" s="18" t="s">
        <v>31</v>
      </c>
      <c r="D57" s="19" t="e">
        <f>#REF!</f>
        <v>#REF!</v>
      </c>
      <c r="E57" s="19" t="e">
        <f>#REF!</f>
        <v>#REF!</v>
      </c>
      <c r="F57" s="19" t="e">
        <f>#REF!</f>
        <v>#REF!</v>
      </c>
      <c r="G57" s="19" t="e">
        <f>#REF!</f>
        <v>#REF!</v>
      </c>
    </row>
    <row r="58" spans="1:11" ht="15.6">
      <c r="A58" s="1">
        <v>3</v>
      </c>
      <c r="B58" s="32" t="s">
        <v>568</v>
      </c>
      <c r="C58" s="18" t="s">
        <v>31</v>
      </c>
      <c r="D58" s="19" t="e">
        <f>#REF!</f>
        <v>#REF!</v>
      </c>
      <c r="E58" s="19" t="e">
        <f>#REF!</f>
        <v>#REF!</v>
      </c>
      <c r="F58" s="19" t="e">
        <f>#REF!</f>
        <v>#REF!</v>
      </c>
      <c r="G58" s="19" t="e">
        <f>#REF!</f>
        <v>#REF!</v>
      </c>
    </row>
    <row r="59" spans="1:11" ht="15.6">
      <c r="A59" s="1" t="s">
        <v>76</v>
      </c>
      <c r="B59" s="123" t="s">
        <v>106</v>
      </c>
      <c r="C59" s="18"/>
      <c r="D59" s="48"/>
      <c r="E59" s="48"/>
      <c r="F59" s="48"/>
      <c r="G59" s="48"/>
    </row>
    <row r="60" spans="1:11" ht="15.6">
      <c r="A60" s="1" t="s">
        <v>21</v>
      </c>
      <c r="B60" s="123" t="s">
        <v>569</v>
      </c>
      <c r="C60" s="18" t="s">
        <v>20</v>
      </c>
      <c r="D60" s="53" t="e">
        <f>#REF!</f>
        <v>#REF!</v>
      </c>
      <c r="E60" s="53" t="e">
        <f>#REF!</f>
        <v>#REF!</v>
      </c>
      <c r="F60" s="53" t="e">
        <f>#REF!</f>
        <v>#REF!</v>
      </c>
      <c r="G60" s="53" t="e">
        <f>#REF!</f>
        <v>#REF!</v>
      </c>
    </row>
    <row r="61" spans="1:11" ht="15.6">
      <c r="A61" s="1" t="s">
        <v>17</v>
      </c>
      <c r="B61" s="170" t="s">
        <v>570</v>
      </c>
      <c r="C61" s="18" t="s">
        <v>27</v>
      </c>
      <c r="D61" s="48"/>
      <c r="E61" s="48"/>
      <c r="F61" s="48"/>
      <c r="G61" s="48"/>
      <c r="K61" s="276"/>
    </row>
    <row r="62" spans="1:11" ht="15.6">
      <c r="A62" s="1" t="s">
        <v>18</v>
      </c>
      <c r="B62" s="170" t="s">
        <v>571</v>
      </c>
      <c r="C62" s="18" t="s">
        <v>27</v>
      </c>
      <c r="D62" s="48"/>
      <c r="E62" s="48"/>
      <c r="F62" s="48"/>
      <c r="G62" s="48"/>
    </row>
    <row r="63" spans="1:11" ht="15.6">
      <c r="A63" s="1" t="s">
        <v>19</v>
      </c>
      <c r="B63" s="170" t="s">
        <v>576</v>
      </c>
      <c r="C63" s="18" t="s">
        <v>572</v>
      </c>
      <c r="D63" s="49"/>
      <c r="E63" s="49"/>
      <c r="F63" s="49"/>
      <c r="G63" s="49"/>
    </row>
    <row r="64" spans="1:11" ht="16.5" customHeight="1">
      <c r="A64" s="31">
        <v>2</v>
      </c>
      <c r="B64" s="123" t="s">
        <v>573</v>
      </c>
      <c r="C64" s="18" t="s">
        <v>47</v>
      </c>
      <c r="D64" s="47" t="e">
        <f>D65+D66</f>
        <v>#REF!</v>
      </c>
      <c r="E64" s="47" t="e">
        <f t="shared" ref="E64:G64" si="47">E65+E66</f>
        <v>#REF!</v>
      </c>
      <c r="F64" s="47" t="e">
        <f t="shared" si="47"/>
        <v>#REF!</v>
      </c>
      <c r="G64" s="47" t="e">
        <f t="shared" si="47"/>
        <v>#REF!</v>
      </c>
    </row>
    <row r="65" spans="1:7" ht="15.6">
      <c r="A65" s="1"/>
      <c r="B65" s="170" t="s">
        <v>574</v>
      </c>
      <c r="C65" s="18" t="s">
        <v>27</v>
      </c>
      <c r="D65" s="49" t="e">
        <f>#REF!</f>
        <v>#REF!</v>
      </c>
      <c r="E65" s="49" t="e">
        <f>#REF!</f>
        <v>#REF!</v>
      </c>
      <c r="F65" s="49" t="e">
        <f>#REF!</f>
        <v>#REF!</v>
      </c>
      <c r="G65" s="49" t="e">
        <f>#REF!</f>
        <v>#REF!</v>
      </c>
    </row>
    <row r="66" spans="1:7" ht="15.6">
      <c r="A66" s="1"/>
      <c r="B66" s="170" t="s">
        <v>575</v>
      </c>
      <c r="C66" s="18" t="s">
        <v>27</v>
      </c>
      <c r="D66" s="49" t="e">
        <f>#REF!</f>
        <v>#REF!</v>
      </c>
      <c r="E66" s="49" t="e">
        <f>#REF!</f>
        <v>#REF!</v>
      </c>
      <c r="F66" s="49" t="e">
        <f>#REF!</f>
        <v>#REF!</v>
      </c>
      <c r="G66" s="49" t="e">
        <f>#REF!</f>
        <v>#REF!</v>
      </c>
    </row>
    <row r="67" spans="1:7" ht="6.75" customHeight="1">
      <c r="A67" s="260"/>
      <c r="B67" s="260"/>
      <c r="C67" s="260"/>
      <c r="D67" s="260"/>
      <c r="E67" s="260"/>
      <c r="F67" s="260"/>
      <c r="G67" s="260"/>
    </row>
  </sheetData>
  <mergeCells count="10"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</mergeCells>
  <pageMargins left="0.47244094488188981" right="0.31496062992125984" top="0.78740157480314965" bottom="0.59055118110236227" header="0.19685039370078741" footer="0.19685039370078741"/>
  <pageSetup paperSize="9" scale="86" fitToHeight="0" orientation="portrait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K76"/>
  <sheetViews>
    <sheetView zoomScale="85" zoomScaleNormal="85" zoomScaleSheetLayoutView="85" workbookViewId="0">
      <pane xSplit="2" ySplit="9" topLeftCell="C43" activePane="bottomRight" state="frozen"/>
      <selection activeCell="G25" sqref="G25"/>
      <selection pane="topRight" activeCell="G25" sqref="G25"/>
      <selection pane="bottomLeft" activeCell="G25" sqref="G25"/>
      <selection pane="bottomRight" activeCell="F37" sqref="F37"/>
    </sheetView>
  </sheetViews>
  <sheetFormatPr defaultRowHeight="13.2" outlineLevelRow="1"/>
  <cols>
    <col min="1" max="1" width="5.6640625" customWidth="1"/>
    <col min="2" max="2" width="43.88671875" customWidth="1"/>
    <col min="3" max="3" width="9" customWidth="1"/>
    <col min="4" max="7" width="14.5546875" customWidth="1"/>
    <col min="257" max="257" width="5.6640625" customWidth="1"/>
    <col min="258" max="258" width="43.88671875" customWidth="1"/>
    <col min="259" max="259" width="9" customWidth="1"/>
    <col min="260" max="263" width="14.5546875" customWidth="1"/>
    <col min="513" max="513" width="5.6640625" customWidth="1"/>
    <col min="514" max="514" width="43.88671875" customWidth="1"/>
    <col min="515" max="515" width="9" customWidth="1"/>
    <col min="516" max="519" width="14.5546875" customWidth="1"/>
    <col min="769" max="769" width="5.6640625" customWidth="1"/>
    <col min="770" max="770" width="43.88671875" customWidth="1"/>
    <col min="771" max="771" width="9" customWidth="1"/>
    <col min="772" max="775" width="14.5546875" customWidth="1"/>
    <col min="1025" max="1025" width="5.6640625" customWidth="1"/>
    <col min="1026" max="1026" width="43.88671875" customWidth="1"/>
    <col min="1027" max="1027" width="9" customWidth="1"/>
    <col min="1028" max="1031" width="14.5546875" customWidth="1"/>
    <col min="1281" max="1281" width="5.6640625" customWidth="1"/>
    <col min="1282" max="1282" width="43.88671875" customWidth="1"/>
    <col min="1283" max="1283" width="9" customWidth="1"/>
    <col min="1284" max="1287" width="14.5546875" customWidth="1"/>
    <col min="1537" max="1537" width="5.6640625" customWidth="1"/>
    <col min="1538" max="1538" width="43.88671875" customWidth="1"/>
    <col min="1539" max="1539" width="9" customWidth="1"/>
    <col min="1540" max="1543" width="14.5546875" customWidth="1"/>
    <col min="1793" max="1793" width="5.6640625" customWidth="1"/>
    <col min="1794" max="1794" width="43.88671875" customWidth="1"/>
    <col min="1795" max="1795" width="9" customWidth="1"/>
    <col min="1796" max="1799" width="14.5546875" customWidth="1"/>
    <col min="2049" max="2049" width="5.6640625" customWidth="1"/>
    <col min="2050" max="2050" width="43.88671875" customWidth="1"/>
    <col min="2051" max="2051" width="9" customWidth="1"/>
    <col min="2052" max="2055" width="14.5546875" customWidth="1"/>
    <col min="2305" max="2305" width="5.6640625" customWidth="1"/>
    <col min="2306" max="2306" width="43.88671875" customWidth="1"/>
    <col min="2307" max="2307" width="9" customWidth="1"/>
    <col min="2308" max="2311" width="14.5546875" customWidth="1"/>
    <col min="2561" max="2561" width="5.6640625" customWidth="1"/>
    <col min="2562" max="2562" width="43.88671875" customWidth="1"/>
    <col min="2563" max="2563" width="9" customWidth="1"/>
    <col min="2564" max="2567" width="14.5546875" customWidth="1"/>
    <col min="2817" max="2817" width="5.6640625" customWidth="1"/>
    <col min="2818" max="2818" width="43.88671875" customWidth="1"/>
    <col min="2819" max="2819" width="9" customWidth="1"/>
    <col min="2820" max="2823" width="14.5546875" customWidth="1"/>
    <col min="3073" max="3073" width="5.6640625" customWidth="1"/>
    <col min="3074" max="3074" width="43.88671875" customWidth="1"/>
    <col min="3075" max="3075" width="9" customWidth="1"/>
    <col min="3076" max="3079" width="14.5546875" customWidth="1"/>
    <col min="3329" max="3329" width="5.6640625" customWidth="1"/>
    <col min="3330" max="3330" width="43.88671875" customWidth="1"/>
    <col min="3331" max="3331" width="9" customWidth="1"/>
    <col min="3332" max="3335" width="14.5546875" customWidth="1"/>
    <col min="3585" max="3585" width="5.6640625" customWidth="1"/>
    <col min="3586" max="3586" width="43.88671875" customWidth="1"/>
    <col min="3587" max="3587" width="9" customWidth="1"/>
    <col min="3588" max="3591" width="14.5546875" customWidth="1"/>
    <col min="3841" max="3841" width="5.6640625" customWidth="1"/>
    <col min="3842" max="3842" width="43.88671875" customWidth="1"/>
    <col min="3843" max="3843" width="9" customWidth="1"/>
    <col min="3844" max="3847" width="14.5546875" customWidth="1"/>
    <col min="4097" max="4097" width="5.6640625" customWidth="1"/>
    <col min="4098" max="4098" width="43.88671875" customWidth="1"/>
    <col min="4099" max="4099" width="9" customWidth="1"/>
    <col min="4100" max="4103" width="14.5546875" customWidth="1"/>
    <col min="4353" max="4353" width="5.6640625" customWidth="1"/>
    <col min="4354" max="4354" width="43.88671875" customWidth="1"/>
    <col min="4355" max="4355" width="9" customWidth="1"/>
    <col min="4356" max="4359" width="14.5546875" customWidth="1"/>
    <col min="4609" max="4609" width="5.6640625" customWidth="1"/>
    <col min="4610" max="4610" width="43.88671875" customWidth="1"/>
    <col min="4611" max="4611" width="9" customWidth="1"/>
    <col min="4612" max="4615" width="14.5546875" customWidth="1"/>
    <col min="4865" max="4865" width="5.6640625" customWidth="1"/>
    <col min="4866" max="4866" width="43.88671875" customWidth="1"/>
    <col min="4867" max="4867" width="9" customWidth="1"/>
    <col min="4868" max="4871" width="14.5546875" customWidth="1"/>
    <col min="5121" max="5121" width="5.6640625" customWidth="1"/>
    <col min="5122" max="5122" width="43.88671875" customWidth="1"/>
    <col min="5123" max="5123" width="9" customWidth="1"/>
    <col min="5124" max="5127" width="14.5546875" customWidth="1"/>
    <col min="5377" max="5377" width="5.6640625" customWidth="1"/>
    <col min="5378" max="5378" width="43.88671875" customWidth="1"/>
    <col min="5379" max="5379" width="9" customWidth="1"/>
    <col min="5380" max="5383" width="14.5546875" customWidth="1"/>
    <col min="5633" max="5633" width="5.6640625" customWidth="1"/>
    <col min="5634" max="5634" width="43.88671875" customWidth="1"/>
    <col min="5635" max="5635" width="9" customWidth="1"/>
    <col min="5636" max="5639" width="14.5546875" customWidth="1"/>
    <col min="5889" max="5889" width="5.6640625" customWidth="1"/>
    <col min="5890" max="5890" width="43.88671875" customWidth="1"/>
    <col min="5891" max="5891" width="9" customWidth="1"/>
    <col min="5892" max="5895" width="14.5546875" customWidth="1"/>
    <col min="6145" max="6145" width="5.6640625" customWidth="1"/>
    <col min="6146" max="6146" width="43.88671875" customWidth="1"/>
    <col min="6147" max="6147" width="9" customWidth="1"/>
    <col min="6148" max="6151" width="14.5546875" customWidth="1"/>
    <col min="6401" max="6401" width="5.6640625" customWidth="1"/>
    <col min="6402" max="6402" width="43.88671875" customWidth="1"/>
    <col min="6403" max="6403" width="9" customWidth="1"/>
    <col min="6404" max="6407" width="14.5546875" customWidth="1"/>
    <col min="6657" max="6657" width="5.6640625" customWidth="1"/>
    <col min="6658" max="6658" width="43.88671875" customWidth="1"/>
    <col min="6659" max="6659" width="9" customWidth="1"/>
    <col min="6660" max="6663" width="14.5546875" customWidth="1"/>
    <col min="6913" max="6913" width="5.6640625" customWidth="1"/>
    <col min="6914" max="6914" width="43.88671875" customWidth="1"/>
    <col min="6915" max="6915" width="9" customWidth="1"/>
    <col min="6916" max="6919" width="14.5546875" customWidth="1"/>
    <col min="7169" max="7169" width="5.6640625" customWidth="1"/>
    <col min="7170" max="7170" width="43.88671875" customWidth="1"/>
    <col min="7171" max="7171" width="9" customWidth="1"/>
    <col min="7172" max="7175" width="14.5546875" customWidth="1"/>
    <col min="7425" max="7425" width="5.6640625" customWidth="1"/>
    <col min="7426" max="7426" width="43.88671875" customWidth="1"/>
    <col min="7427" max="7427" width="9" customWidth="1"/>
    <col min="7428" max="7431" width="14.5546875" customWidth="1"/>
    <col min="7681" max="7681" width="5.6640625" customWidth="1"/>
    <col min="7682" max="7682" width="43.88671875" customWidth="1"/>
    <col min="7683" max="7683" width="9" customWidth="1"/>
    <col min="7684" max="7687" width="14.5546875" customWidth="1"/>
    <col min="7937" max="7937" width="5.6640625" customWidth="1"/>
    <col min="7938" max="7938" width="43.88671875" customWidth="1"/>
    <col min="7939" max="7939" width="9" customWidth="1"/>
    <col min="7940" max="7943" width="14.5546875" customWidth="1"/>
    <col min="8193" max="8193" width="5.6640625" customWidth="1"/>
    <col min="8194" max="8194" width="43.88671875" customWidth="1"/>
    <col min="8195" max="8195" width="9" customWidth="1"/>
    <col min="8196" max="8199" width="14.5546875" customWidth="1"/>
    <col min="8449" max="8449" width="5.6640625" customWidth="1"/>
    <col min="8450" max="8450" width="43.88671875" customWidth="1"/>
    <col min="8451" max="8451" width="9" customWidth="1"/>
    <col min="8452" max="8455" width="14.5546875" customWidth="1"/>
    <col min="8705" max="8705" width="5.6640625" customWidth="1"/>
    <col min="8706" max="8706" width="43.88671875" customWidth="1"/>
    <col min="8707" max="8707" width="9" customWidth="1"/>
    <col min="8708" max="8711" width="14.5546875" customWidth="1"/>
    <col min="8961" max="8961" width="5.6640625" customWidth="1"/>
    <col min="8962" max="8962" width="43.88671875" customWidth="1"/>
    <col min="8963" max="8963" width="9" customWidth="1"/>
    <col min="8964" max="8967" width="14.5546875" customWidth="1"/>
    <col min="9217" max="9217" width="5.6640625" customWidth="1"/>
    <col min="9218" max="9218" width="43.88671875" customWidth="1"/>
    <col min="9219" max="9219" width="9" customWidth="1"/>
    <col min="9220" max="9223" width="14.5546875" customWidth="1"/>
    <col min="9473" max="9473" width="5.6640625" customWidth="1"/>
    <col min="9474" max="9474" width="43.88671875" customWidth="1"/>
    <col min="9475" max="9475" width="9" customWidth="1"/>
    <col min="9476" max="9479" width="14.5546875" customWidth="1"/>
    <col min="9729" max="9729" width="5.6640625" customWidth="1"/>
    <col min="9730" max="9730" width="43.88671875" customWidth="1"/>
    <col min="9731" max="9731" width="9" customWidth="1"/>
    <col min="9732" max="9735" width="14.5546875" customWidth="1"/>
    <col min="9985" max="9985" width="5.6640625" customWidth="1"/>
    <col min="9986" max="9986" width="43.88671875" customWidth="1"/>
    <col min="9987" max="9987" width="9" customWidth="1"/>
    <col min="9988" max="9991" width="14.5546875" customWidth="1"/>
    <col min="10241" max="10241" width="5.6640625" customWidth="1"/>
    <col min="10242" max="10242" width="43.88671875" customWidth="1"/>
    <col min="10243" max="10243" width="9" customWidth="1"/>
    <col min="10244" max="10247" width="14.5546875" customWidth="1"/>
    <col min="10497" max="10497" width="5.6640625" customWidth="1"/>
    <col min="10498" max="10498" width="43.88671875" customWidth="1"/>
    <col min="10499" max="10499" width="9" customWidth="1"/>
    <col min="10500" max="10503" width="14.5546875" customWidth="1"/>
    <col min="10753" max="10753" width="5.6640625" customWidth="1"/>
    <col min="10754" max="10754" width="43.88671875" customWidth="1"/>
    <col min="10755" max="10755" width="9" customWidth="1"/>
    <col min="10756" max="10759" width="14.5546875" customWidth="1"/>
    <col min="11009" max="11009" width="5.6640625" customWidth="1"/>
    <col min="11010" max="11010" width="43.88671875" customWidth="1"/>
    <col min="11011" max="11011" width="9" customWidth="1"/>
    <col min="11012" max="11015" width="14.5546875" customWidth="1"/>
    <col min="11265" max="11265" width="5.6640625" customWidth="1"/>
    <col min="11266" max="11266" width="43.88671875" customWidth="1"/>
    <col min="11267" max="11267" width="9" customWidth="1"/>
    <col min="11268" max="11271" width="14.5546875" customWidth="1"/>
    <col min="11521" max="11521" width="5.6640625" customWidth="1"/>
    <col min="11522" max="11522" width="43.88671875" customWidth="1"/>
    <col min="11523" max="11523" width="9" customWidth="1"/>
    <col min="11524" max="11527" width="14.5546875" customWidth="1"/>
    <col min="11777" max="11777" width="5.6640625" customWidth="1"/>
    <col min="11778" max="11778" width="43.88671875" customWidth="1"/>
    <col min="11779" max="11779" width="9" customWidth="1"/>
    <col min="11780" max="11783" width="14.5546875" customWidth="1"/>
    <col min="12033" max="12033" width="5.6640625" customWidth="1"/>
    <col min="12034" max="12034" width="43.88671875" customWidth="1"/>
    <col min="12035" max="12035" width="9" customWidth="1"/>
    <col min="12036" max="12039" width="14.5546875" customWidth="1"/>
    <col min="12289" max="12289" width="5.6640625" customWidth="1"/>
    <col min="12290" max="12290" width="43.88671875" customWidth="1"/>
    <col min="12291" max="12291" width="9" customWidth="1"/>
    <col min="12292" max="12295" width="14.5546875" customWidth="1"/>
    <col min="12545" max="12545" width="5.6640625" customWidth="1"/>
    <col min="12546" max="12546" width="43.88671875" customWidth="1"/>
    <col min="12547" max="12547" width="9" customWidth="1"/>
    <col min="12548" max="12551" width="14.5546875" customWidth="1"/>
    <col min="12801" max="12801" width="5.6640625" customWidth="1"/>
    <col min="12802" max="12802" width="43.88671875" customWidth="1"/>
    <col min="12803" max="12803" width="9" customWidth="1"/>
    <col min="12804" max="12807" width="14.5546875" customWidth="1"/>
    <col min="13057" max="13057" width="5.6640625" customWidth="1"/>
    <col min="13058" max="13058" width="43.88671875" customWidth="1"/>
    <col min="13059" max="13059" width="9" customWidth="1"/>
    <col min="13060" max="13063" width="14.5546875" customWidth="1"/>
    <col min="13313" max="13313" width="5.6640625" customWidth="1"/>
    <col min="13314" max="13314" width="43.88671875" customWidth="1"/>
    <col min="13315" max="13315" width="9" customWidth="1"/>
    <col min="13316" max="13319" width="14.5546875" customWidth="1"/>
    <col min="13569" max="13569" width="5.6640625" customWidth="1"/>
    <col min="13570" max="13570" width="43.88671875" customWidth="1"/>
    <col min="13571" max="13571" width="9" customWidth="1"/>
    <col min="13572" max="13575" width="14.5546875" customWidth="1"/>
    <col min="13825" max="13825" width="5.6640625" customWidth="1"/>
    <col min="13826" max="13826" width="43.88671875" customWidth="1"/>
    <col min="13827" max="13827" width="9" customWidth="1"/>
    <col min="13828" max="13831" width="14.5546875" customWidth="1"/>
    <col min="14081" max="14081" width="5.6640625" customWidth="1"/>
    <col min="14082" max="14082" width="43.88671875" customWidth="1"/>
    <col min="14083" max="14083" width="9" customWidth="1"/>
    <col min="14084" max="14087" width="14.5546875" customWidth="1"/>
    <col min="14337" max="14337" width="5.6640625" customWidth="1"/>
    <col min="14338" max="14338" width="43.88671875" customWidth="1"/>
    <col min="14339" max="14339" width="9" customWidth="1"/>
    <col min="14340" max="14343" width="14.5546875" customWidth="1"/>
    <col min="14593" max="14593" width="5.6640625" customWidth="1"/>
    <col min="14594" max="14594" width="43.88671875" customWidth="1"/>
    <col min="14595" max="14595" width="9" customWidth="1"/>
    <col min="14596" max="14599" width="14.5546875" customWidth="1"/>
    <col min="14849" max="14849" width="5.6640625" customWidth="1"/>
    <col min="14850" max="14850" width="43.88671875" customWidth="1"/>
    <col min="14851" max="14851" width="9" customWidth="1"/>
    <col min="14852" max="14855" width="14.5546875" customWidth="1"/>
    <col min="15105" max="15105" width="5.6640625" customWidth="1"/>
    <col min="15106" max="15106" width="43.88671875" customWidth="1"/>
    <col min="15107" max="15107" width="9" customWidth="1"/>
    <col min="15108" max="15111" width="14.5546875" customWidth="1"/>
    <col min="15361" max="15361" width="5.6640625" customWidth="1"/>
    <col min="15362" max="15362" width="43.88671875" customWidth="1"/>
    <col min="15363" max="15363" width="9" customWidth="1"/>
    <col min="15364" max="15367" width="14.5546875" customWidth="1"/>
    <col min="15617" max="15617" width="5.6640625" customWidth="1"/>
    <col min="15618" max="15618" width="43.88671875" customWidth="1"/>
    <col min="15619" max="15619" width="9" customWidth="1"/>
    <col min="15620" max="15623" width="14.5546875" customWidth="1"/>
    <col min="15873" max="15873" width="5.6640625" customWidth="1"/>
    <col min="15874" max="15874" width="43.88671875" customWidth="1"/>
    <col min="15875" max="15875" width="9" customWidth="1"/>
    <col min="15876" max="15879" width="14.5546875" customWidth="1"/>
    <col min="16129" max="16129" width="5.6640625" customWidth="1"/>
    <col min="16130" max="16130" width="43.88671875" customWidth="1"/>
    <col min="16131" max="16131" width="9" customWidth="1"/>
    <col min="16132" max="16135" width="14.5546875" customWidth="1"/>
  </cols>
  <sheetData>
    <row r="1" spans="1:7" ht="15.6" outlineLevel="1">
      <c r="A1" s="643" t="s">
        <v>548</v>
      </c>
      <c r="B1" s="643"/>
      <c r="C1" s="643"/>
      <c r="D1" s="643"/>
      <c r="E1" s="643"/>
      <c r="F1" s="643"/>
      <c r="G1" s="643"/>
    </row>
    <row r="2" spans="1:7" ht="15.6" outlineLevel="1">
      <c r="A2" s="644" t="s">
        <v>549</v>
      </c>
      <c r="B2" s="644"/>
      <c r="C2" s="644"/>
      <c r="D2" s="644"/>
      <c r="E2" s="644"/>
      <c r="F2" s="644"/>
      <c r="G2" s="644"/>
    </row>
    <row r="3" spans="1:7" ht="15.6" outlineLevel="1">
      <c r="A3" s="645" t="e">
        <f>#REF!</f>
        <v>#REF!</v>
      </c>
      <c r="B3" s="645"/>
      <c r="C3" s="645"/>
      <c r="D3" s="645"/>
      <c r="E3" s="645"/>
      <c r="F3" s="645"/>
      <c r="G3" s="645"/>
    </row>
    <row r="4" spans="1:7" ht="15.6" outlineLevel="1">
      <c r="A4" s="6"/>
      <c r="B4" s="250"/>
      <c r="C4" s="250"/>
      <c r="D4" s="250"/>
      <c r="E4" s="250"/>
      <c r="F4" s="250"/>
      <c r="G4" s="250"/>
    </row>
    <row r="5" spans="1:7" ht="15.75" customHeight="1">
      <c r="A5" s="646" t="s">
        <v>32</v>
      </c>
      <c r="B5" s="646" t="s">
        <v>501</v>
      </c>
      <c r="C5" s="646" t="s">
        <v>4</v>
      </c>
      <c r="D5" s="646" t="s">
        <v>155</v>
      </c>
      <c r="E5" s="646" t="s">
        <v>545</v>
      </c>
      <c r="F5" s="647" t="s">
        <v>546</v>
      </c>
      <c r="G5" s="651" t="s">
        <v>547</v>
      </c>
    </row>
    <row r="6" spans="1:7" ht="12.75" customHeight="1">
      <c r="A6" s="646"/>
      <c r="B6" s="646"/>
      <c r="C6" s="646"/>
      <c r="D6" s="646"/>
      <c r="E6" s="646"/>
      <c r="F6" s="648"/>
      <c r="G6" s="652"/>
    </row>
    <row r="7" spans="1:7" ht="10.5" customHeight="1">
      <c r="A7" s="646"/>
      <c r="B7" s="646"/>
      <c r="C7" s="646"/>
      <c r="D7" s="646"/>
      <c r="E7" s="646"/>
      <c r="F7" s="649"/>
      <c r="G7" s="653"/>
    </row>
    <row r="8" spans="1:7" ht="15.6">
      <c r="A8" s="251" t="s">
        <v>23</v>
      </c>
      <c r="B8" s="252" t="s">
        <v>24</v>
      </c>
      <c r="C8" s="252" t="s">
        <v>76</v>
      </c>
      <c r="D8" s="253">
        <v>1</v>
      </c>
      <c r="E8" s="253">
        <v>2</v>
      </c>
      <c r="F8" s="253">
        <v>3</v>
      </c>
      <c r="G8" s="253">
        <v>4</v>
      </c>
    </row>
    <row r="9" spans="1:7" ht="15.6">
      <c r="A9" s="64" t="s">
        <v>23</v>
      </c>
      <c r="B9" s="255" t="s">
        <v>102</v>
      </c>
      <c r="C9" s="261"/>
      <c r="D9" s="256"/>
      <c r="E9" s="256"/>
      <c r="F9" s="256"/>
      <c r="G9" s="65"/>
    </row>
    <row r="10" spans="1:7" ht="15.6">
      <c r="A10" s="262" t="s">
        <v>21</v>
      </c>
      <c r="B10" s="263" t="s">
        <v>550</v>
      </c>
      <c r="C10" s="9" t="s">
        <v>20</v>
      </c>
      <c r="D10" s="264" t="e">
        <f>D14+D33+D36+D40+D43</f>
        <v>#REF!</v>
      </c>
      <c r="E10" s="264" t="e">
        <f t="shared" ref="E10:G10" si="0">E14+E33+E36+E40+E43</f>
        <v>#REF!</v>
      </c>
      <c r="F10" s="264" t="e">
        <f t="shared" si="0"/>
        <v>#REF!</v>
      </c>
      <c r="G10" s="264" t="e">
        <f t="shared" si="0"/>
        <v>#REF!</v>
      </c>
    </row>
    <row r="11" spans="1:7" ht="15.6">
      <c r="A11" s="1" t="s">
        <v>33</v>
      </c>
      <c r="B11" s="123" t="s">
        <v>551</v>
      </c>
      <c r="C11" s="9" t="s">
        <v>47</v>
      </c>
      <c r="D11" s="13" t="e">
        <f>#REF!</f>
        <v>#REF!</v>
      </c>
      <c r="E11" s="13" t="e">
        <f>#REF!</f>
        <v>#REF!</v>
      </c>
      <c r="F11" s="13" t="e">
        <f>#REF!</f>
        <v>#REF!</v>
      </c>
      <c r="G11" s="13" t="e">
        <f>#REF!</f>
        <v>#REF!</v>
      </c>
    </row>
    <row r="12" spans="1:7" ht="15.6">
      <c r="A12" s="1"/>
      <c r="B12" s="170" t="s">
        <v>552</v>
      </c>
      <c r="C12" s="18" t="s">
        <v>27</v>
      </c>
      <c r="D12" s="19" t="e">
        <f>#REF!</f>
        <v>#REF!</v>
      </c>
      <c r="E12" s="19" t="e">
        <f>#REF!</f>
        <v>#REF!</v>
      </c>
      <c r="F12" s="19" t="e">
        <f>#REF!</f>
        <v>#REF!</v>
      </c>
      <c r="G12" s="19" t="e">
        <f>#REF!</f>
        <v>#REF!</v>
      </c>
    </row>
    <row r="13" spans="1:7" ht="15.6">
      <c r="A13" s="1" t="s">
        <v>33</v>
      </c>
      <c r="B13" s="123" t="s">
        <v>553</v>
      </c>
      <c r="C13" s="18"/>
      <c r="D13" s="30"/>
      <c r="E13" s="259"/>
      <c r="F13" s="259"/>
      <c r="G13" s="17"/>
    </row>
    <row r="14" spans="1:7" ht="15.6">
      <c r="A14" s="8">
        <v>1</v>
      </c>
      <c r="B14" s="123" t="s">
        <v>7</v>
      </c>
      <c r="C14" s="9" t="s">
        <v>20</v>
      </c>
      <c r="D14" s="47" t="e">
        <f>D15+D30</f>
        <v>#REF!</v>
      </c>
      <c r="E14" s="47" t="e">
        <f t="shared" ref="E14:G14" si="1">E15+E30</f>
        <v>#REF!</v>
      </c>
      <c r="F14" s="47" t="e">
        <f t="shared" si="1"/>
        <v>#REF!</v>
      </c>
      <c r="G14" s="47" t="e">
        <f t="shared" si="1"/>
        <v>#REF!</v>
      </c>
    </row>
    <row r="15" spans="1:7" ht="15.6">
      <c r="A15" s="8" t="s">
        <v>17</v>
      </c>
      <c r="B15" s="123" t="s">
        <v>191</v>
      </c>
      <c r="C15" s="9" t="s">
        <v>20</v>
      </c>
      <c r="D15" s="13" t="e">
        <f>D18+D21</f>
        <v>#REF!</v>
      </c>
      <c r="E15" s="13" t="e">
        <f t="shared" ref="E15:G15" si="2">E18+E21</f>
        <v>#REF!</v>
      </c>
      <c r="F15" s="13" t="e">
        <f t="shared" si="2"/>
        <v>#REF!</v>
      </c>
      <c r="G15" s="13" t="e">
        <f t="shared" si="2"/>
        <v>#REF!</v>
      </c>
    </row>
    <row r="16" spans="1:7" ht="15.6">
      <c r="A16" s="16"/>
      <c r="B16" s="32" t="s">
        <v>11</v>
      </c>
      <c r="C16" s="18" t="s">
        <v>6</v>
      </c>
      <c r="D16" s="30" t="e">
        <f t="shared" ref="D16:G16" si="3">D17/D15*10</f>
        <v>#REF!</v>
      </c>
      <c r="E16" s="30" t="e">
        <f t="shared" si="3"/>
        <v>#REF!</v>
      </c>
      <c r="F16" s="30" t="e">
        <f t="shared" si="3"/>
        <v>#REF!</v>
      </c>
      <c r="G16" s="30" t="e">
        <f t="shared" si="3"/>
        <v>#REF!</v>
      </c>
    </row>
    <row r="17" spans="1:7" ht="15.6">
      <c r="A17" s="16"/>
      <c r="B17" s="32" t="s">
        <v>12</v>
      </c>
      <c r="C17" s="18" t="s">
        <v>47</v>
      </c>
      <c r="D17" s="19" t="e">
        <f>D20+D23</f>
        <v>#REF!</v>
      </c>
      <c r="E17" s="19" t="e">
        <f t="shared" ref="E17:G17" si="4">E20+E23</f>
        <v>#REF!</v>
      </c>
      <c r="F17" s="19" t="e">
        <f t="shared" si="4"/>
        <v>#REF!</v>
      </c>
      <c r="G17" s="19" t="e">
        <f t="shared" si="4"/>
        <v>#REF!</v>
      </c>
    </row>
    <row r="18" spans="1:7" s="266" customFormat="1" ht="15.6">
      <c r="A18" s="62"/>
      <c r="B18" s="265" t="s">
        <v>192</v>
      </c>
      <c r="C18" s="9" t="s">
        <v>20</v>
      </c>
      <c r="D18" s="47" t="e">
        <f>#REF!</f>
        <v>#REF!</v>
      </c>
      <c r="E18" s="47" t="e">
        <f>#REF!</f>
        <v>#REF!</v>
      </c>
      <c r="F18" s="47" t="e">
        <f>#REF!</f>
        <v>#REF!</v>
      </c>
      <c r="G18" s="47" t="e">
        <f>#REF!</f>
        <v>#REF!</v>
      </c>
    </row>
    <row r="19" spans="1:7" ht="15.6">
      <c r="A19" s="16"/>
      <c r="B19" s="32" t="s">
        <v>11</v>
      </c>
      <c r="C19" s="18" t="s">
        <v>6</v>
      </c>
      <c r="D19" s="48" t="e">
        <f>#REF!</f>
        <v>#REF!</v>
      </c>
      <c r="E19" s="48" t="e">
        <f>#REF!</f>
        <v>#REF!</v>
      </c>
      <c r="F19" s="48" t="e">
        <f>#REF!</f>
        <v>#REF!</v>
      </c>
      <c r="G19" s="48" t="e">
        <f>#REF!</f>
        <v>#REF!</v>
      </c>
    </row>
    <row r="20" spans="1:7" ht="15.6">
      <c r="A20" s="16"/>
      <c r="B20" s="32" t="s">
        <v>12</v>
      </c>
      <c r="C20" s="18" t="s">
        <v>47</v>
      </c>
      <c r="D20" s="19" t="e">
        <f t="shared" ref="D20:G20" si="5">D18*D19/10</f>
        <v>#REF!</v>
      </c>
      <c r="E20" s="19" t="e">
        <f t="shared" si="5"/>
        <v>#REF!</v>
      </c>
      <c r="F20" s="19" t="e">
        <f t="shared" si="5"/>
        <v>#REF!</v>
      </c>
      <c r="G20" s="19" t="e">
        <f t="shared" si="5"/>
        <v>#REF!</v>
      </c>
    </row>
    <row r="21" spans="1:7" s="266" customFormat="1" ht="15.6">
      <c r="A21" s="62"/>
      <c r="B21" s="265" t="s">
        <v>554</v>
      </c>
      <c r="C21" s="9" t="s">
        <v>20</v>
      </c>
      <c r="D21" s="24" t="e">
        <f>D24+D27</f>
        <v>#REF!</v>
      </c>
      <c r="E21" s="24" t="e">
        <f t="shared" ref="E21:G21" si="6">E24+E27</f>
        <v>#REF!</v>
      </c>
      <c r="F21" s="24" t="e">
        <f t="shared" si="6"/>
        <v>#REF!</v>
      </c>
      <c r="G21" s="24" t="e">
        <f t="shared" si="6"/>
        <v>#REF!</v>
      </c>
    </row>
    <row r="22" spans="1:7" ht="15.6">
      <c r="A22" s="16"/>
      <c r="B22" s="32" t="s">
        <v>11</v>
      </c>
      <c r="C22" s="18" t="s">
        <v>6</v>
      </c>
      <c r="D22" s="25" t="e">
        <f t="shared" ref="D22:G22" si="7">D23/D21*10</f>
        <v>#REF!</v>
      </c>
      <c r="E22" s="25" t="e">
        <f t="shared" si="7"/>
        <v>#REF!</v>
      </c>
      <c r="F22" s="25" t="e">
        <f t="shared" si="7"/>
        <v>#REF!</v>
      </c>
      <c r="G22" s="25" t="e">
        <f t="shared" si="7"/>
        <v>#REF!</v>
      </c>
    </row>
    <row r="23" spans="1:7" ht="15.6">
      <c r="A23" s="16"/>
      <c r="B23" s="32" t="s">
        <v>12</v>
      </c>
      <c r="C23" s="18" t="s">
        <v>47</v>
      </c>
      <c r="D23" s="26" t="e">
        <f>D26+D29</f>
        <v>#REF!</v>
      </c>
      <c r="E23" s="26" t="e">
        <f t="shared" ref="E23:G23" si="8">E26+E29</f>
        <v>#REF!</v>
      </c>
      <c r="F23" s="26" t="e">
        <f t="shared" si="8"/>
        <v>#REF!</v>
      </c>
      <c r="G23" s="26" t="e">
        <f t="shared" si="8"/>
        <v>#REF!</v>
      </c>
    </row>
    <row r="24" spans="1:7" s="269" customFormat="1" ht="15.6">
      <c r="A24" s="58"/>
      <c r="B24" s="170" t="s">
        <v>555</v>
      </c>
      <c r="C24" s="33" t="s">
        <v>20</v>
      </c>
      <c r="D24" s="59" t="e">
        <f>#REF!</f>
        <v>#REF!</v>
      </c>
      <c r="E24" s="59" t="e">
        <f>#REF!</f>
        <v>#REF!</v>
      </c>
      <c r="F24" s="59" t="e">
        <f>#REF!</f>
        <v>#REF!</v>
      </c>
      <c r="G24" s="59" t="e">
        <f>#REF!</f>
        <v>#REF!</v>
      </c>
    </row>
    <row r="25" spans="1:7" ht="15.6">
      <c r="A25" s="16"/>
      <c r="B25" s="32" t="s">
        <v>556</v>
      </c>
      <c r="C25" s="18" t="s">
        <v>6</v>
      </c>
      <c r="D25" s="30" t="e">
        <f>#REF!</f>
        <v>#REF!</v>
      </c>
      <c r="E25" s="30" t="e">
        <f>#REF!</f>
        <v>#REF!</v>
      </c>
      <c r="F25" s="30" t="e">
        <f>#REF!</f>
        <v>#REF!</v>
      </c>
      <c r="G25" s="30" t="e">
        <f>#REF!</f>
        <v>#REF!</v>
      </c>
    </row>
    <row r="26" spans="1:7" ht="15.6">
      <c r="A26" s="16"/>
      <c r="B26" s="32" t="s">
        <v>225</v>
      </c>
      <c r="C26" s="18" t="s">
        <v>47</v>
      </c>
      <c r="D26" s="19" t="e">
        <f t="shared" ref="D26:G26" si="9">D24*D25/10</f>
        <v>#REF!</v>
      </c>
      <c r="E26" s="19" t="e">
        <f t="shared" si="9"/>
        <v>#REF!</v>
      </c>
      <c r="F26" s="19" t="e">
        <f t="shared" si="9"/>
        <v>#REF!</v>
      </c>
      <c r="G26" s="19" t="e">
        <f t="shared" si="9"/>
        <v>#REF!</v>
      </c>
    </row>
    <row r="27" spans="1:7" s="269" customFormat="1" ht="15.6">
      <c r="A27" s="58"/>
      <c r="B27" s="170" t="s">
        <v>557</v>
      </c>
      <c r="C27" s="33" t="s">
        <v>20</v>
      </c>
      <c r="D27" s="59" t="e">
        <f>#REF!</f>
        <v>#REF!</v>
      </c>
      <c r="E27" s="59" t="e">
        <f>#REF!</f>
        <v>#REF!</v>
      </c>
      <c r="F27" s="59" t="e">
        <f>#REF!</f>
        <v>#REF!</v>
      </c>
      <c r="G27" s="59" t="e">
        <f>#REF!</f>
        <v>#REF!</v>
      </c>
    </row>
    <row r="28" spans="1:7" ht="15.6">
      <c r="A28" s="16"/>
      <c r="B28" s="32" t="s">
        <v>556</v>
      </c>
      <c r="C28" s="18" t="s">
        <v>6</v>
      </c>
      <c r="D28" s="30" t="e">
        <f>#REF!</f>
        <v>#REF!</v>
      </c>
      <c r="E28" s="30" t="e">
        <f>#REF!</f>
        <v>#REF!</v>
      </c>
      <c r="F28" s="30" t="e">
        <f>#REF!</f>
        <v>#REF!</v>
      </c>
      <c r="G28" s="30" t="e">
        <f>#REF!</f>
        <v>#REF!</v>
      </c>
    </row>
    <row r="29" spans="1:7" ht="15.6">
      <c r="A29" s="16"/>
      <c r="B29" s="32" t="s">
        <v>225</v>
      </c>
      <c r="C29" s="18" t="s">
        <v>47</v>
      </c>
      <c r="D29" s="19" t="e">
        <f t="shared" ref="D29:G29" si="10">D28*D27/10</f>
        <v>#REF!</v>
      </c>
      <c r="E29" s="19" t="e">
        <f t="shared" si="10"/>
        <v>#REF!</v>
      </c>
      <c r="F29" s="19" t="e">
        <f t="shared" si="10"/>
        <v>#REF!</v>
      </c>
      <c r="G29" s="19" t="e">
        <f t="shared" si="10"/>
        <v>#REF!</v>
      </c>
    </row>
    <row r="30" spans="1:7" s="266" customFormat="1" ht="15.6">
      <c r="A30" s="8" t="s">
        <v>18</v>
      </c>
      <c r="B30" s="123" t="s">
        <v>558</v>
      </c>
      <c r="C30" s="9" t="s">
        <v>20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</row>
    <row r="31" spans="1:7" ht="15.6">
      <c r="A31" s="1"/>
      <c r="B31" s="32" t="s">
        <v>11</v>
      </c>
      <c r="C31" s="18" t="s">
        <v>6</v>
      </c>
      <c r="D31" s="30" t="e">
        <f>#REF!</f>
        <v>#REF!</v>
      </c>
      <c r="E31" s="30" t="e">
        <f>#REF!</f>
        <v>#REF!</v>
      </c>
      <c r="F31" s="30" t="e">
        <f>#REF!</f>
        <v>#REF!</v>
      </c>
      <c r="G31" s="30" t="e">
        <f>#REF!</f>
        <v>#REF!</v>
      </c>
    </row>
    <row r="32" spans="1:7" ht="15.6">
      <c r="A32" s="1"/>
      <c r="B32" s="32" t="s">
        <v>12</v>
      </c>
      <c r="C32" s="18" t="s">
        <v>47</v>
      </c>
      <c r="D32" s="19" t="e">
        <f>#REF!</f>
        <v>#REF!</v>
      </c>
      <c r="E32" s="19" t="e">
        <f>#REF!</f>
        <v>#REF!</v>
      </c>
      <c r="F32" s="19" t="e">
        <f>#REF!</f>
        <v>#REF!</v>
      </c>
      <c r="G32" s="19" t="e">
        <f>#REF!</f>
        <v>#REF!</v>
      </c>
    </row>
    <row r="33" spans="1:7" ht="15.6">
      <c r="A33" s="8">
        <v>2</v>
      </c>
      <c r="B33" s="123" t="s">
        <v>559</v>
      </c>
      <c r="C33" s="18" t="s">
        <v>20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</row>
    <row r="34" spans="1:7" ht="15.6">
      <c r="A34" s="1"/>
      <c r="B34" s="32" t="s">
        <v>11</v>
      </c>
      <c r="C34" s="18" t="s">
        <v>6</v>
      </c>
      <c r="D34" s="30" t="e">
        <f>#REF!</f>
        <v>#REF!</v>
      </c>
      <c r="E34" s="30" t="e">
        <f>#REF!</f>
        <v>#REF!</v>
      </c>
      <c r="F34" s="30" t="e">
        <f>#REF!</f>
        <v>#REF!</v>
      </c>
      <c r="G34" s="30" t="e">
        <f>#REF!</f>
        <v>#REF!</v>
      </c>
    </row>
    <row r="35" spans="1:7" ht="15.6">
      <c r="A35" s="1"/>
      <c r="B35" s="32" t="s">
        <v>12</v>
      </c>
      <c r="C35" s="18" t="s">
        <v>47</v>
      </c>
      <c r="D35" s="19" t="e">
        <f>#REF!</f>
        <v>#REF!</v>
      </c>
      <c r="E35" s="19" t="e">
        <f>#REF!</f>
        <v>#REF!</v>
      </c>
      <c r="F35" s="19" t="e">
        <f>#REF!</f>
        <v>#REF!</v>
      </c>
      <c r="G35" s="19" t="e">
        <f>#REF!</f>
        <v>#REF!</v>
      </c>
    </row>
    <row r="36" spans="1:7" ht="15.6">
      <c r="A36" s="8">
        <v>3</v>
      </c>
      <c r="B36" s="123" t="s">
        <v>560</v>
      </c>
      <c r="C36" s="18" t="s">
        <v>20</v>
      </c>
      <c r="D36" s="240" t="e">
        <f>#REF!</f>
        <v>#REF!</v>
      </c>
      <c r="E36" s="240" t="e">
        <f>#REF!</f>
        <v>#REF!</v>
      </c>
      <c r="F36" s="240" t="e">
        <f>#REF!</f>
        <v>#REF!</v>
      </c>
      <c r="G36" s="240" t="e">
        <f>#REF!</f>
        <v>#REF!</v>
      </c>
    </row>
    <row r="37" spans="1:7" ht="15.6">
      <c r="A37" s="1"/>
      <c r="B37" s="170" t="s">
        <v>561</v>
      </c>
      <c r="C37" s="18" t="s">
        <v>27</v>
      </c>
      <c r="D37" s="30" t="e">
        <f>#REF!</f>
        <v>#REF!</v>
      </c>
      <c r="E37" s="30" t="e">
        <f>#REF!</f>
        <v>#REF!</v>
      </c>
      <c r="F37" s="30" t="e">
        <f>#REF!</f>
        <v>#REF!</v>
      </c>
      <c r="G37" s="30" t="e">
        <f>#REF!</f>
        <v>#REF!</v>
      </c>
    </row>
    <row r="38" spans="1:7" ht="15.6">
      <c r="A38" s="1"/>
      <c r="B38" s="32" t="s">
        <v>11</v>
      </c>
      <c r="C38" s="18" t="s">
        <v>6</v>
      </c>
      <c r="D38" s="19" t="e">
        <f>#REF!</f>
        <v>#REF!</v>
      </c>
      <c r="E38" s="19" t="e">
        <f>#REF!</f>
        <v>#REF!</v>
      </c>
      <c r="F38" s="19" t="e">
        <f>#REF!</f>
        <v>#REF!</v>
      </c>
      <c r="G38" s="19" t="e">
        <f>#REF!</f>
        <v>#REF!</v>
      </c>
    </row>
    <row r="39" spans="1:7" ht="15.6">
      <c r="A39" s="1"/>
      <c r="B39" s="32" t="s">
        <v>12</v>
      </c>
      <c r="C39" s="18" t="s">
        <v>47</v>
      </c>
      <c r="D39" s="19" t="e">
        <f>#REF!</f>
        <v>#REF!</v>
      </c>
      <c r="E39" s="19" t="e">
        <f>#REF!</f>
        <v>#REF!</v>
      </c>
      <c r="F39" s="19" t="e">
        <f>#REF!</f>
        <v>#REF!</v>
      </c>
      <c r="G39" s="19" t="e">
        <f>#REF!</f>
        <v>#REF!</v>
      </c>
    </row>
    <row r="40" spans="1:7" ht="15.6">
      <c r="A40" s="8">
        <v>4</v>
      </c>
      <c r="B40" s="12" t="s">
        <v>60</v>
      </c>
      <c r="C40" s="1" t="s">
        <v>20</v>
      </c>
      <c r="D40" s="13" t="e">
        <f>#REF!</f>
        <v>#REF!</v>
      </c>
      <c r="E40" s="13" t="e">
        <f>#REF!</f>
        <v>#REF!</v>
      </c>
      <c r="F40" s="13" t="e">
        <f>#REF!</f>
        <v>#REF!</v>
      </c>
      <c r="G40" s="13" t="e">
        <f>#REF!</f>
        <v>#REF!</v>
      </c>
    </row>
    <row r="41" spans="1:7" ht="15.6">
      <c r="A41" s="1"/>
      <c r="B41" s="29" t="s">
        <v>112</v>
      </c>
      <c r="C41" s="1" t="s">
        <v>6</v>
      </c>
      <c r="D41" s="30" t="e">
        <f>#REF!</f>
        <v>#REF!</v>
      </c>
      <c r="E41" s="30" t="e">
        <f>#REF!</f>
        <v>#REF!</v>
      </c>
      <c r="F41" s="30" t="e">
        <f>#REF!</f>
        <v>#REF!</v>
      </c>
      <c r="G41" s="30" t="e">
        <f>#REF!</f>
        <v>#REF!</v>
      </c>
    </row>
    <row r="42" spans="1:7" ht="15.6">
      <c r="A42" s="1"/>
      <c r="B42" s="29" t="s">
        <v>113</v>
      </c>
      <c r="C42" s="1" t="s">
        <v>47</v>
      </c>
      <c r="D42" s="19" t="e">
        <f>#REF!</f>
        <v>#REF!</v>
      </c>
      <c r="E42" s="19" t="e">
        <f>#REF!</f>
        <v>#REF!</v>
      </c>
      <c r="F42" s="19" t="e">
        <f>#REF!</f>
        <v>#REF!</v>
      </c>
      <c r="G42" s="19" t="e">
        <f>#REF!</f>
        <v>#REF!</v>
      </c>
    </row>
    <row r="43" spans="1:7" s="266" customFormat="1" ht="15.6">
      <c r="A43" s="8">
        <v>5</v>
      </c>
      <c r="B43" s="36" t="s">
        <v>179</v>
      </c>
      <c r="C43" s="8" t="s">
        <v>20</v>
      </c>
      <c r="D43" s="13" t="e">
        <f>#REF!</f>
        <v>#REF!</v>
      </c>
      <c r="E43" s="13" t="e">
        <f>#REF!</f>
        <v>#REF!</v>
      </c>
      <c r="F43" s="13" t="e">
        <f>#REF!</f>
        <v>#REF!</v>
      </c>
      <c r="G43" s="13" t="e">
        <f>#REF!</f>
        <v>#REF!</v>
      </c>
    </row>
    <row r="44" spans="1:7" s="266" customFormat="1" ht="15.6">
      <c r="A44" s="8" t="s">
        <v>22</v>
      </c>
      <c r="B44" s="123" t="s">
        <v>199</v>
      </c>
      <c r="C44" s="9"/>
      <c r="D44" s="13" t="e">
        <f>D45+D50</f>
        <v>#REF!</v>
      </c>
      <c r="E44" s="13" t="e">
        <f t="shared" ref="E44:G44" si="11">E45+E50</f>
        <v>#REF!</v>
      </c>
      <c r="F44" s="13" t="e">
        <f t="shared" si="11"/>
        <v>#REF!</v>
      </c>
      <c r="G44" s="13" t="e">
        <f t="shared" si="11"/>
        <v>#REF!</v>
      </c>
    </row>
    <row r="45" spans="1:7" ht="15.6">
      <c r="A45" s="62">
        <v>1</v>
      </c>
      <c r="B45" s="123" t="s">
        <v>562</v>
      </c>
      <c r="C45" s="18" t="s">
        <v>20</v>
      </c>
      <c r="D45" s="13" t="e">
        <f>#REF!</f>
        <v>#REF!</v>
      </c>
      <c r="E45" s="13" t="e">
        <f>#REF!</f>
        <v>#REF!</v>
      </c>
      <c r="F45" s="13" t="e">
        <f>#REF!</f>
        <v>#REF!</v>
      </c>
      <c r="G45" s="13" t="e">
        <f>#REF!</f>
        <v>#REF!</v>
      </c>
    </row>
    <row r="46" spans="1:7" ht="15.6">
      <c r="A46" s="16"/>
      <c r="B46" s="170" t="s">
        <v>563</v>
      </c>
      <c r="C46" s="18" t="s">
        <v>27</v>
      </c>
      <c r="D46" s="19" t="e">
        <f>#REF!</f>
        <v>#REF!</v>
      </c>
      <c r="E46" s="19" t="e">
        <f>#REF!</f>
        <v>#REF!</v>
      </c>
      <c r="F46" s="19" t="e">
        <f>#REF!</f>
        <v>#REF!</v>
      </c>
      <c r="G46" s="19" t="e">
        <f>#REF!</f>
        <v>#REF!</v>
      </c>
    </row>
    <row r="47" spans="1:7" ht="15.6">
      <c r="A47" s="16"/>
      <c r="B47" s="170" t="s">
        <v>564</v>
      </c>
      <c r="C47" s="18" t="s">
        <v>27</v>
      </c>
      <c r="D47" s="19" t="e">
        <f>#REF!</f>
        <v>#REF!</v>
      </c>
      <c r="E47" s="19" t="e">
        <f>#REF!</f>
        <v>#REF!</v>
      </c>
      <c r="F47" s="19" t="e">
        <f>#REF!</f>
        <v>#REF!</v>
      </c>
      <c r="G47" s="19" t="e">
        <f>#REF!</f>
        <v>#REF!</v>
      </c>
    </row>
    <row r="48" spans="1:7" ht="15.6">
      <c r="A48" s="16"/>
      <c r="B48" s="32" t="s">
        <v>11</v>
      </c>
      <c r="C48" s="18" t="s">
        <v>6</v>
      </c>
      <c r="D48" s="19" t="e">
        <f>#REF!</f>
        <v>#REF!</v>
      </c>
      <c r="E48" s="19" t="e">
        <f>#REF!</f>
        <v>#REF!</v>
      </c>
      <c r="F48" s="19" t="e">
        <f>#REF!</f>
        <v>#REF!</v>
      </c>
      <c r="G48" s="19" t="e">
        <f>#REF!</f>
        <v>#REF!</v>
      </c>
    </row>
    <row r="49" spans="1:11" ht="15.6">
      <c r="A49" s="16"/>
      <c r="B49" s="32" t="s">
        <v>12</v>
      </c>
      <c r="C49" s="18" t="s">
        <v>47</v>
      </c>
      <c r="D49" s="19" t="e">
        <f>#REF!</f>
        <v>#REF!</v>
      </c>
      <c r="E49" s="19" t="e">
        <f>#REF!</f>
        <v>#REF!</v>
      </c>
      <c r="F49" s="19" t="e">
        <f>#REF!</f>
        <v>#REF!</v>
      </c>
      <c r="G49" s="19" t="e">
        <f>#REF!</f>
        <v>#REF!</v>
      </c>
    </row>
    <row r="50" spans="1:11" ht="15.6">
      <c r="A50" s="62">
        <v>2</v>
      </c>
      <c r="B50" s="123" t="s">
        <v>565</v>
      </c>
      <c r="C50" s="18" t="s">
        <v>20</v>
      </c>
      <c r="D50" s="13" t="e">
        <f>#REF!</f>
        <v>#REF!</v>
      </c>
      <c r="E50" s="13" t="e">
        <f>#REF!</f>
        <v>#REF!</v>
      </c>
      <c r="F50" s="13" t="e">
        <f>#REF!</f>
        <v>#REF!</v>
      </c>
      <c r="G50" s="13" t="e">
        <f>#REF!</f>
        <v>#REF!</v>
      </c>
    </row>
    <row r="51" spans="1:11" ht="15.6">
      <c r="A51" s="16"/>
      <c r="B51" s="170" t="s">
        <v>563</v>
      </c>
      <c r="C51" s="18" t="s">
        <v>27</v>
      </c>
      <c r="D51" s="30" t="e">
        <f>#REF!</f>
        <v>#REF!</v>
      </c>
      <c r="E51" s="30" t="e">
        <f>#REF!</f>
        <v>#REF!</v>
      </c>
      <c r="F51" s="30" t="e">
        <f>#REF!</f>
        <v>#REF!</v>
      </c>
      <c r="G51" s="30" t="e">
        <f>#REF!</f>
        <v>#REF!</v>
      </c>
    </row>
    <row r="52" spans="1:11" ht="15.6">
      <c r="A52" s="16"/>
      <c r="B52" s="170" t="s">
        <v>564</v>
      </c>
      <c r="C52" s="18" t="s">
        <v>27</v>
      </c>
      <c r="D52" s="19" t="e">
        <f>#REF!</f>
        <v>#REF!</v>
      </c>
      <c r="E52" s="19" t="e">
        <f>#REF!</f>
        <v>#REF!</v>
      </c>
      <c r="F52" s="19" t="e">
        <f>#REF!</f>
        <v>#REF!</v>
      </c>
      <c r="G52" s="19" t="e">
        <f>#REF!</f>
        <v>#REF!</v>
      </c>
    </row>
    <row r="53" spans="1:11" ht="15.6">
      <c r="A53" s="16"/>
      <c r="B53" s="32" t="s">
        <v>11</v>
      </c>
      <c r="C53" s="18" t="s">
        <v>6</v>
      </c>
      <c r="D53" s="30" t="e">
        <f>#REF!</f>
        <v>#REF!</v>
      </c>
      <c r="E53" s="30" t="e">
        <f>#REF!</f>
        <v>#REF!</v>
      </c>
      <c r="F53" s="30" t="e">
        <f>#REF!</f>
        <v>#REF!</v>
      </c>
      <c r="G53" s="30" t="e">
        <f>#REF!</f>
        <v>#REF!</v>
      </c>
    </row>
    <row r="54" spans="1:11" ht="15.6">
      <c r="A54" s="16"/>
      <c r="B54" s="32" t="s">
        <v>12</v>
      </c>
      <c r="C54" s="18" t="s">
        <v>47</v>
      </c>
      <c r="D54" s="19" t="e">
        <f>#REF!</f>
        <v>#REF!</v>
      </c>
      <c r="E54" s="19" t="e">
        <f>#REF!</f>
        <v>#REF!</v>
      </c>
      <c r="F54" s="19" t="e">
        <f>#REF!</f>
        <v>#REF!</v>
      </c>
      <c r="G54" s="19" t="e">
        <f>#REF!</f>
        <v>#REF!</v>
      </c>
    </row>
    <row r="55" spans="1:11" ht="16.5" customHeight="1">
      <c r="A55" s="8" t="s">
        <v>24</v>
      </c>
      <c r="B55" s="123" t="s">
        <v>103</v>
      </c>
      <c r="C55" s="18"/>
      <c r="D55" s="19"/>
      <c r="E55" s="30"/>
      <c r="F55" s="30"/>
      <c r="G55" s="17"/>
    </row>
    <row r="56" spans="1:11" ht="15.6">
      <c r="A56" s="1">
        <v>1</v>
      </c>
      <c r="B56" s="32" t="s">
        <v>566</v>
      </c>
      <c r="C56" s="18" t="s">
        <v>31</v>
      </c>
      <c r="D56" s="19" t="e">
        <f>#REF!</f>
        <v>#REF!</v>
      </c>
      <c r="E56" s="19" t="e">
        <f>#REF!</f>
        <v>#REF!</v>
      </c>
      <c r="F56" s="19" t="e">
        <f>#REF!</f>
        <v>#REF!</v>
      </c>
      <c r="G56" s="19" t="e">
        <f>#REF!</f>
        <v>#REF!</v>
      </c>
    </row>
    <row r="57" spans="1:11" ht="15.6">
      <c r="A57" s="1">
        <v>2</v>
      </c>
      <c r="B57" s="32" t="s">
        <v>567</v>
      </c>
      <c r="C57" s="18" t="s">
        <v>31</v>
      </c>
      <c r="D57" s="19" t="e">
        <f>#REF!</f>
        <v>#REF!</v>
      </c>
      <c r="E57" s="19" t="e">
        <f>#REF!</f>
        <v>#REF!</v>
      </c>
      <c r="F57" s="19" t="e">
        <f>#REF!</f>
        <v>#REF!</v>
      </c>
      <c r="G57" s="19" t="e">
        <f>#REF!</f>
        <v>#REF!</v>
      </c>
    </row>
    <row r="58" spans="1:11" ht="15.6">
      <c r="A58" s="1">
        <v>3</v>
      </c>
      <c r="B58" s="32" t="s">
        <v>568</v>
      </c>
      <c r="C58" s="18" t="s">
        <v>31</v>
      </c>
      <c r="D58" s="19" t="e">
        <f>#REF!</f>
        <v>#REF!</v>
      </c>
      <c r="E58" s="19" t="e">
        <f>#REF!</f>
        <v>#REF!</v>
      </c>
      <c r="F58" s="19" t="e">
        <f>#REF!</f>
        <v>#REF!</v>
      </c>
      <c r="G58" s="19" t="e">
        <f>#REF!</f>
        <v>#REF!</v>
      </c>
    </row>
    <row r="59" spans="1:11" ht="15.6">
      <c r="A59" s="1" t="s">
        <v>76</v>
      </c>
      <c r="B59" s="123" t="s">
        <v>106</v>
      </c>
      <c r="C59" s="18"/>
      <c r="D59" s="48"/>
      <c r="E59" s="48"/>
      <c r="F59" s="48"/>
      <c r="G59" s="17"/>
    </row>
    <row r="60" spans="1:11" ht="15.6">
      <c r="A60" s="1" t="s">
        <v>21</v>
      </c>
      <c r="B60" s="123" t="s">
        <v>569</v>
      </c>
      <c r="C60" s="18" t="s">
        <v>20</v>
      </c>
      <c r="D60" s="53" t="e">
        <f>#REF!</f>
        <v>#REF!</v>
      </c>
      <c r="E60" s="53" t="e">
        <f>#REF!</f>
        <v>#REF!</v>
      </c>
      <c r="F60" s="53" t="e">
        <f>#REF!</f>
        <v>#REF!</v>
      </c>
      <c r="G60" s="53" t="e">
        <f>#REF!</f>
        <v>#REF!</v>
      </c>
    </row>
    <row r="61" spans="1:11" ht="15.6">
      <c r="A61" s="1" t="s">
        <v>17</v>
      </c>
      <c r="B61" s="170" t="s">
        <v>570</v>
      </c>
      <c r="C61" s="18" t="s">
        <v>27</v>
      </c>
      <c r="D61" s="48"/>
      <c r="E61" s="48"/>
      <c r="F61" s="48"/>
      <c r="G61" s="48"/>
      <c r="K61" s="267"/>
    </row>
    <row r="62" spans="1:11" ht="15.6">
      <c r="A62" s="1" t="s">
        <v>18</v>
      </c>
      <c r="B62" s="170" t="s">
        <v>571</v>
      </c>
      <c r="C62" s="18" t="s">
        <v>27</v>
      </c>
      <c r="D62" s="48"/>
      <c r="E62" s="48"/>
      <c r="F62" s="48"/>
      <c r="G62" s="48"/>
    </row>
    <row r="63" spans="1:11" ht="15.6">
      <c r="A63" s="1" t="s">
        <v>19</v>
      </c>
      <c r="B63" s="170" t="s">
        <v>576</v>
      </c>
      <c r="C63" s="18" t="s">
        <v>572</v>
      </c>
      <c r="D63" s="49"/>
      <c r="E63" s="49"/>
      <c r="F63" s="49"/>
      <c r="G63" s="17"/>
    </row>
    <row r="64" spans="1:11" ht="16.5" customHeight="1">
      <c r="A64" s="31">
        <v>2</v>
      </c>
      <c r="B64" s="123" t="s">
        <v>573</v>
      </c>
      <c r="C64" s="18" t="s">
        <v>47</v>
      </c>
      <c r="D64" s="47" t="e">
        <f>D65+D66</f>
        <v>#REF!</v>
      </c>
      <c r="E64" s="47" t="e">
        <f t="shared" ref="E64:G64" si="12">E65+E66</f>
        <v>#REF!</v>
      </c>
      <c r="F64" s="47" t="e">
        <f t="shared" si="12"/>
        <v>#REF!</v>
      </c>
      <c r="G64" s="47" t="e">
        <f t="shared" si="12"/>
        <v>#REF!</v>
      </c>
    </row>
    <row r="65" spans="1:7" ht="15.6">
      <c r="A65" s="1"/>
      <c r="B65" s="170" t="s">
        <v>574</v>
      </c>
      <c r="C65" s="18" t="s">
        <v>27</v>
      </c>
      <c r="D65" s="49" t="e">
        <f>#REF!</f>
        <v>#REF!</v>
      </c>
      <c r="E65" s="49" t="e">
        <f>#REF!</f>
        <v>#REF!</v>
      </c>
      <c r="F65" s="49" t="e">
        <f>#REF!</f>
        <v>#REF!</v>
      </c>
      <c r="G65" s="49" t="e">
        <f>#REF!</f>
        <v>#REF!</v>
      </c>
    </row>
    <row r="66" spans="1:7" ht="15.6">
      <c r="A66" s="1"/>
      <c r="B66" s="170" t="s">
        <v>575</v>
      </c>
      <c r="C66" s="18" t="s">
        <v>27</v>
      </c>
      <c r="D66" s="49" t="e">
        <f>#REF!</f>
        <v>#REF!</v>
      </c>
      <c r="E66" s="49" t="e">
        <f>#REF!</f>
        <v>#REF!</v>
      </c>
      <c r="F66" s="49" t="e">
        <f>#REF!</f>
        <v>#REF!</v>
      </c>
      <c r="G66" s="49" t="e">
        <f>#REF!</f>
        <v>#REF!</v>
      </c>
    </row>
    <row r="67" spans="1:7" ht="6.75" customHeight="1">
      <c r="A67" s="260"/>
      <c r="B67" s="260"/>
      <c r="C67" s="260"/>
      <c r="D67" s="268"/>
      <c r="E67" s="268"/>
      <c r="F67" s="268"/>
      <c r="G67" s="268"/>
    </row>
    <row r="68" spans="1:7">
      <c r="A68" s="249"/>
      <c r="B68" s="249"/>
      <c r="C68" s="249"/>
    </row>
    <row r="69" spans="1:7">
      <c r="A69" s="249"/>
      <c r="B69" s="249"/>
      <c r="C69" s="249"/>
    </row>
    <row r="70" spans="1:7">
      <c r="A70" s="249"/>
      <c r="B70" s="249"/>
      <c r="C70" s="249"/>
    </row>
    <row r="71" spans="1:7">
      <c r="A71" s="249"/>
      <c r="B71" s="249"/>
      <c r="C71" s="249"/>
    </row>
    <row r="72" spans="1:7">
      <c r="A72" s="249"/>
      <c r="B72" s="249"/>
      <c r="C72" s="249"/>
    </row>
    <row r="73" spans="1:7">
      <c r="A73" s="249"/>
      <c r="B73" s="249"/>
      <c r="C73" s="249"/>
    </row>
    <row r="74" spans="1:7">
      <c r="A74" s="249"/>
      <c r="B74" s="249"/>
      <c r="C74" s="249"/>
    </row>
    <row r="75" spans="1:7">
      <c r="A75" s="249"/>
      <c r="B75" s="249"/>
      <c r="C75" s="249"/>
    </row>
    <row r="76" spans="1:7">
      <c r="A76" s="249"/>
      <c r="B76" s="249"/>
      <c r="C76" s="249"/>
    </row>
  </sheetData>
  <mergeCells count="10"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</mergeCells>
  <pageMargins left="0.47244094488188976" right="0.31496062992125984" top="0.78740157480314965" bottom="0.59055118110236215" header="0.19685039370078741" footer="0.19685039370078741"/>
  <pageSetup paperSize="9" scale="83" fitToHeight="0" orientation="portrait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00FF"/>
    <pageSetUpPr fitToPage="1"/>
  </sheetPr>
  <dimension ref="A1:L31"/>
  <sheetViews>
    <sheetView zoomScale="70" zoomScaleNormal="70" workbookViewId="0">
      <pane xSplit="3" ySplit="7" topLeftCell="D8" activePane="bottomRight" state="frozen"/>
      <selection activeCell="D60" sqref="D60"/>
      <selection pane="topRight" activeCell="D60" sqref="D60"/>
      <selection pane="bottomLeft" activeCell="D60" sqref="D60"/>
      <selection pane="bottomRight" activeCell="D60" sqref="D60"/>
    </sheetView>
  </sheetViews>
  <sheetFormatPr defaultColWidth="10.33203125" defaultRowHeight="13.2" outlineLevelRow="1"/>
  <cols>
    <col min="1" max="1" width="4.109375" style="160" customWidth="1"/>
    <col min="2" max="2" width="48.6640625" style="160" customWidth="1"/>
    <col min="3" max="3" width="12.109375" style="160" customWidth="1"/>
    <col min="4" max="10" width="12.44140625" style="160" customWidth="1"/>
    <col min="11" max="16384" width="10.33203125" style="160"/>
  </cols>
  <sheetData>
    <row r="1" spans="1:10" ht="17.399999999999999" outlineLevel="1">
      <c r="A1" s="150"/>
      <c r="B1" s="151"/>
      <c r="C1" s="151"/>
      <c r="D1" s="151"/>
      <c r="E1" s="151"/>
      <c r="F1" s="151"/>
      <c r="G1" s="151"/>
      <c r="H1" s="151"/>
      <c r="I1" s="151"/>
      <c r="J1" s="152" t="s">
        <v>272</v>
      </c>
    </row>
    <row r="2" spans="1:10" ht="16.8" outlineLevel="1">
      <c r="A2" s="672" t="s">
        <v>273</v>
      </c>
      <c r="B2" s="672"/>
      <c r="C2" s="672"/>
      <c r="D2" s="672"/>
      <c r="E2" s="672"/>
      <c r="F2" s="672"/>
      <c r="G2" s="672"/>
      <c r="H2" s="672"/>
      <c r="I2" s="672"/>
      <c r="J2" s="672"/>
    </row>
    <row r="3" spans="1:10" ht="16.8" outlineLevel="1">
      <c r="A3" s="673" t="s">
        <v>274</v>
      </c>
      <c r="B3" s="673"/>
      <c r="C3" s="673"/>
      <c r="D3" s="673"/>
      <c r="E3" s="673"/>
      <c r="F3" s="673"/>
      <c r="G3" s="673"/>
      <c r="H3" s="673"/>
      <c r="I3" s="673"/>
      <c r="J3" s="673"/>
    </row>
    <row r="4" spans="1:10" ht="15.6" outlineLevel="1">
      <c r="A4" s="151"/>
      <c r="B4" s="151"/>
      <c r="C4" s="151"/>
      <c r="D4" s="151"/>
      <c r="E4" s="151"/>
      <c r="F4" s="151"/>
      <c r="G4" s="151"/>
      <c r="H4" s="151"/>
      <c r="I4" s="151"/>
      <c r="J4" s="151"/>
    </row>
    <row r="5" spans="1:10" s="161" customFormat="1" ht="15.6">
      <c r="A5" s="654" t="s">
        <v>275</v>
      </c>
      <c r="B5" s="654" t="s">
        <v>42</v>
      </c>
      <c r="C5" s="654" t="s">
        <v>276</v>
      </c>
      <c r="D5" s="654" t="s">
        <v>277</v>
      </c>
      <c r="E5" s="654" t="s">
        <v>265</v>
      </c>
      <c r="F5" s="654"/>
      <c r="G5" s="654"/>
      <c r="H5" s="654"/>
      <c r="I5" s="654" t="s">
        <v>267</v>
      </c>
      <c r="J5" s="654" t="s">
        <v>269</v>
      </c>
    </row>
    <row r="6" spans="1:10" s="161" customFormat="1" ht="78">
      <c r="A6" s="654"/>
      <c r="B6" s="654"/>
      <c r="C6" s="654"/>
      <c r="D6" s="654"/>
      <c r="E6" s="7" t="s">
        <v>221</v>
      </c>
      <c r="F6" s="7" t="s">
        <v>474</v>
      </c>
      <c r="G6" s="7" t="s">
        <v>266</v>
      </c>
      <c r="H6" s="7" t="s">
        <v>268</v>
      </c>
      <c r="I6" s="654"/>
      <c r="J6" s="654"/>
    </row>
    <row r="7" spans="1:10" s="163" customFormat="1" ht="15.6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 t="s">
        <v>231</v>
      </c>
      <c r="I7" s="7">
        <v>9</v>
      </c>
      <c r="J7" s="7" t="s">
        <v>270</v>
      </c>
    </row>
    <row r="8" spans="1:10" ht="36" customHeight="1">
      <c r="A8" s="155">
        <v>1</v>
      </c>
      <c r="B8" s="65" t="s">
        <v>278</v>
      </c>
      <c r="C8" s="155" t="s">
        <v>126</v>
      </c>
      <c r="D8" s="231" t="e">
        <f>#REF!</f>
        <v>#REF!</v>
      </c>
      <c r="E8" s="231" t="e">
        <f>#REF!</f>
        <v>#REF!</v>
      </c>
      <c r="F8" s="231" t="e">
        <f>#REF!</f>
        <v>#REF!</v>
      </c>
      <c r="G8" s="231" t="e">
        <f>#REF!</f>
        <v>#REF!</v>
      </c>
      <c r="H8" s="48" t="str">
        <f t="shared" ref="H8:H30" si="0">IFERROR(G8/D8%,"")</f>
        <v/>
      </c>
      <c r="I8" s="231" t="e">
        <f>#REF!</f>
        <v>#REF!</v>
      </c>
      <c r="J8" s="48" t="str">
        <f t="shared" ref="J8:J30" si="1">IFERROR(I8/G8%,"")</f>
        <v/>
      </c>
    </row>
    <row r="9" spans="1:10" ht="34.5" customHeight="1">
      <c r="A9" s="156">
        <v>2</v>
      </c>
      <c r="B9" s="17" t="s">
        <v>279</v>
      </c>
      <c r="C9" s="156" t="s">
        <v>126</v>
      </c>
      <c r="D9" s="49">
        <v>108387</v>
      </c>
      <c r="E9" s="49">
        <v>82860</v>
      </c>
      <c r="F9" s="49">
        <v>82108</v>
      </c>
      <c r="G9" s="49">
        <v>95437</v>
      </c>
      <c r="H9" s="48">
        <f t="shared" si="0"/>
        <v>88.052072665541075</v>
      </c>
      <c r="I9" s="49">
        <v>90225</v>
      </c>
      <c r="J9" s="48">
        <f t="shared" si="1"/>
        <v>94.538805704286602</v>
      </c>
    </row>
    <row r="10" spans="1:10" ht="20.25" customHeight="1">
      <c r="A10" s="156"/>
      <c r="B10" s="27" t="s">
        <v>43</v>
      </c>
      <c r="C10" s="156"/>
      <c r="D10" s="49"/>
      <c r="E10" s="49"/>
      <c r="F10" s="49"/>
      <c r="G10" s="49"/>
      <c r="H10" s="48" t="str">
        <f t="shared" si="0"/>
        <v/>
      </c>
      <c r="I10" s="49"/>
      <c r="J10" s="48" t="str">
        <f t="shared" si="1"/>
        <v/>
      </c>
    </row>
    <row r="11" spans="1:10" ht="20.25" customHeight="1">
      <c r="A11" s="156" t="s">
        <v>65</v>
      </c>
      <c r="B11" s="17" t="s">
        <v>280</v>
      </c>
      <c r="C11" s="156" t="s">
        <v>126</v>
      </c>
      <c r="D11" s="49"/>
      <c r="E11" s="49"/>
      <c r="F11" s="49"/>
      <c r="G11" s="49"/>
      <c r="H11" s="48" t="str">
        <f t="shared" si="0"/>
        <v/>
      </c>
      <c r="I11" s="49"/>
      <c r="J11" s="48" t="str">
        <f t="shared" si="1"/>
        <v/>
      </c>
    </row>
    <row r="12" spans="1:10" ht="20.25" customHeight="1">
      <c r="A12" s="156" t="s">
        <v>65</v>
      </c>
      <c r="B12" s="17" t="s">
        <v>281</v>
      </c>
      <c r="C12" s="156" t="s">
        <v>126</v>
      </c>
      <c r="D12" s="49">
        <f>D9</f>
        <v>108387</v>
      </c>
      <c r="E12" s="49">
        <v>82860</v>
      </c>
      <c r="F12" s="49">
        <v>61227</v>
      </c>
      <c r="G12" s="49">
        <v>94917</v>
      </c>
      <c r="H12" s="48">
        <f t="shared" si="0"/>
        <v>87.572310332419946</v>
      </c>
      <c r="I12" s="49">
        <f>I9</f>
        <v>90225</v>
      </c>
      <c r="J12" s="48">
        <f t="shared" si="1"/>
        <v>95.056733777932308</v>
      </c>
    </row>
    <row r="13" spans="1:10" ht="20.25" customHeight="1">
      <c r="A13" s="156"/>
      <c r="B13" s="27" t="s">
        <v>43</v>
      </c>
      <c r="C13" s="156"/>
      <c r="D13" s="49"/>
      <c r="E13" s="49"/>
      <c r="F13" s="49"/>
      <c r="G13" s="49"/>
      <c r="H13" s="48" t="str">
        <f t="shared" si="0"/>
        <v/>
      </c>
      <c r="I13" s="49"/>
      <c r="J13" s="48" t="str">
        <f t="shared" si="1"/>
        <v/>
      </c>
    </row>
    <row r="14" spans="1:10" ht="20.25" customHeight="1">
      <c r="A14" s="156"/>
      <c r="B14" s="17" t="s">
        <v>282</v>
      </c>
      <c r="C14" s="156" t="s">
        <v>126</v>
      </c>
      <c r="D14" s="49"/>
      <c r="E14" s="49"/>
      <c r="F14" s="49"/>
      <c r="G14" s="49"/>
      <c r="H14" s="48"/>
      <c r="I14" s="49"/>
      <c r="J14" s="48"/>
    </row>
    <row r="15" spans="1:10" ht="20.25" customHeight="1">
      <c r="A15" s="156"/>
      <c r="B15" s="17" t="s">
        <v>283</v>
      </c>
      <c r="C15" s="156" t="s">
        <v>126</v>
      </c>
      <c r="D15" s="49">
        <v>9705.7999999999993</v>
      </c>
      <c r="E15" s="49">
        <v>3320</v>
      </c>
      <c r="F15" s="49">
        <v>5036.8999999999996</v>
      </c>
      <c r="G15" s="49">
        <v>5848</v>
      </c>
      <c r="H15" s="48">
        <f t="shared" ref="H15" si="2">IFERROR(G15/D15%,"")</f>
        <v>60.252632446578339</v>
      </c>
      <c r="I15" s="49">
        <v>4870</v>
      </c>
      <c r="J15" s="48">
        <f t="shared" ref="J15" si="3">IFERROR(I15/G15%,"")</f>
        <v>83.276333789329684</v>
      </c>
    </row>
    <row r="16" spans="1:10" ht="20.25" customHeight="1">
      <c r="A16" s="156"/>
      <c r="B16" s="17" t="s">
        <v>284</v>
      </c>
      <c r="C16" s="156" t="s">
        <v>126</v>
      </c>
      <c r="D16" s="49">
        <v>64255</v>
      </c>
      <c r="E16" s="49">
        <v>65600</v>
      </c>
      <c r="F16" s="49">
        <v>53808</v>
      </c>
      <c r="G16" s="49">
        <v>64560</v>
      </c>
      <c r="H16" s="48">
        <f t="shared" si="0"/>
        <v>100.47467123181076</v>
      </c>
      <c r="I16" s="49">
        <v>70485</v>
      </c>
      <c r="J16" s="48">
        <f t="shared" si="1"/>
        <v>109.17750929368029</v>
      </c>
    </row>
    <row r="17" spans="1:12" ht="20.25" customHeight="1">
      <c r="A17" s="156"/>
      <c r="B17" s="17" t="s">
        <v>285</v>
      </c>
      <c r="C17" s="156" t="s">
        <v>126</v>
      </c>
      <c r="D17" s="49">
        <v>1269</v>
      </c>
      <c r="E17" s="49">
        <v>0</v>
      </c>
      <c r="F17" s="49">
        <v>853.5</v>
      </c>
      <c r="G17" s="49">
        <v>972</v>
      </c>
      <c r="H17" s="48">
        <f t="shared" si="0"/>
        <v>76.59574468085107</v>
      </c>
      <c r="I17" s="49">
        <v>1155</v>
      </c>
      <c r="J17" s="48">
        <f t="shared" si="1"/>
        <v>118.82716049382715</v>
      </c>
    </row>
    <row r="18" spans="1:12" ht="38.25" customHeight="1">
      <c r="A18" s="156">
        <v>3</v>
      </c>
      <c r="B18" s="17" t="s">
        <v>286</v>
      </c>
      <c r="C18" s="156" t="s">
        <v>126</v>
      </c>
      <c r="D18" s="49">
        <v>22793</v>
      </c>
      <c r="E18" s="49">
        <v>22292.63</v>
      </c>
      <c r="F18" s="49">
        <v>24204</v>
      </c>
      <c r="G18" s="49">
        <v>34385.83</v>
      </c>
      <c r="H18" s="48">
        <f t="shared" si="0"/>
        <v>150.86136094414951</v>
      </c>
      <c r="I18" s="49">
        <v>31531.47</v>
      </c>
      <c r="J18" s="48">
        <f t="shared" si="1"/>
        <v>91.699022533409831</v>
      </c>
    </row>
    <row r="19" spans="1:12" ht="23.25" customHeight="1">
      <c r="A19" s="1">
        <v>4</v>
      </c>
      <c r="B19" s="17" t="s">
        <v>287</v>
      </c>
      <c r="C19" s="156" t="s">
        <v>126</v>
      </c>
      <c r="D19" s="49">
        <f>D20+D27</f>
        <v>269428.45640000002</v>
      </c>
      <c r="E19" s="49">
        <f t="shared" ref="E19:G19" si="4">E20+E27</f>
        <v>248274</v>
      </c>
      <c r="F19" s="49">
        <f t="shared" si="4"/>
        <v>151599.81599999999</v>
      </c>
      <c r="G19" s="49">
        <f t="shared" si="4"/>
        <v>267046.08927200001</v>
      </c>
      <c r="H19" s="48">
        <f t="shared" si="0"/>
        <v>99.115770041579026</v>
      </c>
      <c r="I19" s="49">
        <f>I20+I27</f>
        <v>273702</v>
      </c>
      <c r="J19" s="48">
        <f t="shared" si="1"/>
        <v>102.49242022084832</v>
      </c>
    </row>
    <row r="20" spans="1:12" ht="20.25" customHeight="1">
      <c r="A20" s="156" t="s">
        <v>288</v>
      </c>
      <c r="B20" s="17" t="s">
        <v>289</v>
      </c>
      <c r="C20" s="156" t="s">
        <v>126</v>
      </c>
      <c r="D20" s="49">
        <f>D21+D25+D26</f>
        <v>36880.456399999995</v>
      </c>
      <c r="E20" s="49">
        <f>E21+E25+E26</f>
        <v>29059</v>
      </c>
      <c r="F20" s="49">
        <f>F21+F25+F26</f>
        <v>17864.815999999999</v>
      </c>
      <c r="G20" s="49">
        <f>G21+G25+G26</f>
        <v>44760.089271999997</v>
      </c>
      <c r="H20" s="48">
        <f t="shared" si="0"/>
        <v>121.36533449190179</v>
      </c>
      <c r="I20" s="49">
        <f>I21+I25+I26</f>
        <v>29067</v>
      </c>
      <c r="J20" s="48">
        <f t="shared" si="1"/>
        <v>64.93954876489282</v>
      </c>
    </row>
    <row r="21" spans="1:12" ht="20.25" customHeight="1">
      <c r="A21" s="156" t="s">
        <v>65</v>
      </c>
      <c r="B21" s="17" t="s">
        <v>290</v>
      </c>
      <c r="C21" s="156" t="s">
        <v>126</v>
      </c>
      <c r="D21" s="49">
        <v>26948.12</v>
      </c>
      <c r="E21" s="49">
        <v>16821</v>
      </c>
      <c r="F21" s="49">
        <v>14236.11</v>
      </c>
      <c r="G21" s="49">
        <v>31989.269671999999</v>
      </c>
      <c r="H21" s="49">
        <f t="shared" si="0"/>
        <v>118.70686961465215</v>
      </c>
      <c r="I21" s="49">
        <v>12664</v>
      </c>
      <c r="J21" s="48">
        <f t="shared" si="1"/>
        <v>39.588274849190185</v>
      </c>
    </row>
    <row r="22" spans="1:12" ht="20.25" customHeight="1">
      <c r="A22" s="156"/>
      <c r="B22" s="27" t="s">
        <v>43</v>
      </c>
      <c r="C22" s="156"/>
      <c r="D22" s="49"/>
      <c r="E22" s="49"/>
      <c r="F22" s="49"/>
      <c r="G22" s="49"/>
      <c r="H22" s="49" t="str">
        <f t="shared" si="0"/>
        <v/>
      </c>
      <c r="I22" s="49"/>
      <c r="J22" s="48" t="str">
        <f t="shared" si="1"/>
        <v/>
      </c>
    </row>
    <row r="23" spans="1:12" s="79" customFormat="1" ht="20.25" customHeight="1">
      <c r="A23" s="156"/>
      <c r="B23" s="37" t="s">
        <v>291</v>
      </c>
      <c r="C23" s="156" t="s">
        <v>126</v>
      </c>
      <c r="D23" s="49">
        <v>7077.7559999999994</v>
      </c>
      <c r="E23" s="49">
        <v>1311</v>
      </c>
      <c r="F23" s="49">
        <v>1262.087</v>
      </c>
      <c r="G23" s="49">
        <v>8275.2906719999992</v>
      </c>
      <c r="H23" s="49">
        <f t="shared" si="0"/>
        <v>116.91969420816429</v>
      </c>
      <c r="I23" s="49">
        <v>1600</v>
      </c>
      <c r="J23" s="48">
        <f t="shared" si="1"/>
        <v>19.334668272302594</v>
      </c>
    </row>
    <row r="24" spans="1:12" s="159" customFormat="1" ht="20.25" customHeight="1">
      <c r="A24" s="172"/>
      <c r="B24" s="37" t="s">
        <v>292</v>
      </c>
      <c r="C24" s="156" t="s">
        <v>126</v>
      </c>
      <c r="D24" s="49">
        <v>1860</v>
      </c>
      <c r="E24" s="49">
        <v>2470</v>
      </c>
      <c r="F24" s="49">
        <v>507.77</v>
      </c>
      <c r="G24" s="49">
        <v>2470</v>
      </c>
      <c r="H24" s="49">
        <f t="shared" si="0"/>
        <v>132.79569892473117</v>
      </c>
      <c r="I24" s="72"/>
      <c r="J24" s="48">
        <f t="shared" si="1"/>
        <v>0</v>
      </c>
    </row>
    <row r="25" spans="1:12" ht="31.2">
      <c r="A25" s="156" t="s">
        <v>65</v>
      </c>
      <c r="B25" s="17" t="s">
        <v>293</v>
      </c>
      <c r="C25" s="156" t="s">
        <v>126</v>
      </c>
      <c r="D25" s="49">
        <v>9869.7063999999991</v>
      </c>
      <c r="E25" s="49">
        <f>11578+660</f>
        <v>12238</v>
      </c>
      <c r="F25" s="49">
        <v>3628.7060000000001</v>
      </c>
      <c r="G25" s="49">
        <f>12110.8196+660</f>
        <v>12770.819600000001</v>
      </c>
      <c r="H25" s="49">
        <f t="shared" si="0"/>
        <v>129.39411855250324</v>
      </c>
      <c r="I25" s="49">
        <v>16403</v>
      </c>
      <c r="J25" s="48">
        <f t="shared" si="1"/>
        <v>128.44124742001679</v>
      </c>
      <c r="L25" s="232"/>
    </row>
    <row r="26" spans="1:12" ht="18.75" customHeight="1">
      <c r="A26" s="156" t="s">
        <v>65</v>
      </c>
      <c r="B26" s="17" t="s">
        <v>294</v>
      </c>
      <c r="C26" s="156" t="s">
        <v>126</v>
      </c>
      <c r="D26" s="49">
        <v>62.63</v>
      </c>
      <c r="E26" s="49"/>
      <c r="F26" s="49"/>
      <c r="G26" s="49"/>
      <c r="H26" s="49">
        <f t="shared" si="0"/>
        <v>0</v>
      </c>
      <c r="I26" s="49"/>
      <c r="J26" s="48" t="str">
        <f t="shared" si="1"/>
        <v/>
      </c>
    </row>
    <row r="27" spans="1:12" ht="18.75" customHeight="1">
      <c r="A27" s="156" t="s">
        <v>295</v>
      </c>
      <c r="B27" s="17" t="s">
        <v>296</v>
      </c>
      <c r="C27" s="156" t="s">
        <v>126</v>
      </c>
      <c r="D27" s="49">
        <v>232548</v>
      </c>
      <c r="E27" s="49">
        <v>219215</v>
      </c>
      <c r="F27" s="49">
        <v>133735</v>
      </c>
      <c r="G27" s="49">
        <v>222286</v>
      </c>
      <c r="H27" s="48">
        <f t="shared" si="0"/>
        <v>95.587147599635344</v>
      </c>
      <c r="I27" s="49">
        <v>244635</v>
      </c>
      <c r="J27" s="48">
        <f t="shared" si="1"/>
        <v>110.05416445480147</v>
      </c>
    </row>
    <row r="28" spans="1:12" ht="18.75" hidden="1" customHeight="1" outlineLevel="1">
      <c r="A28" s="156">
        <v>5</v>
      </c>
      <c r="B28" s="17" t="s">
        <v>297</v>
      </c>
      <c r="C28" s="156" t="s">
        <v>126</v>
      </c>
      <c r="D28" s="49">
        <f>D29+D30</f>
        <v>69633.416399999987</v>
      </c>
      <c r="E28" s="49">
        <f t="shared" ref="E28:I28" si="5">E29+E30</f>
        <v>69320.186600000001</v>
      </c>
      <c r="F28" s="49">
        <f t="shared" si="5"/>
        <v>18231.2</v>
      </c>
      <c r="G28" s="49">
        <f t="shared" si="5"/>
        <v>69320.186600000001</v>
      </c>
      <c r="H28" s="48">
        <f t="shared" si="0"/>
        <v>99.550173155083073</v>
      </c>
      <c r="I28" s="49">
        <f t="shared" si="5"/>
        <v>51352</v>
      </c>
      <c r="J28" s="48">
        <f t="shared" si="1"/>
        <v>74.07943128647031</v>
      </c>
    </row>
    <row r="29" spans="1:12" ht="18.75" hidden="1" customHeight="1" outlineLevel="1">
      <c r="A29" s="156" t="s">
        <v>65</v>
      </c>
      <c r="B29" s="17" t="s">
        <v>298</v>
      </c>
      <c r="C29" s="156" t="s">
        <v>126</v>
      </c>
      <c r="D29" s="49"/>
      <c r="E29" s="49"/>
      <c r="F29" s="49"/>
      <c r="G29" s="49"/>
      <c r="H29" s="48" t="str">
        <f t="shared" si="0"/>
        <v/>
      </c>
      <c r="I29" s="49"/>
      <c r="J29" s="48" t="str">
        <f t="shared" si="1"/>
        <v/>
      </c>
    </row>
    <row r="30" spans="1:12" ht="18.75" hidden="1" customHeight="1" outlineLevel="1">
      <c r="A30" s="156" t="s">
        <v>65</v>
      </c>
      <c r="B30" s="17" t="s">
        <v>299</v>
      </c>
      <c r="C30" s="156" t="s">
        <v>126</v>
      </c>
      <c r="D30" s="49">
        <v>69633.416399999987</v>
      </c>
      <c r="E30" s="49">
        <v>69320.186600000001</v>
      </c>
      <c r="F30" s="49">
        <v>18231.2</v>
      </c>
      <c r="G30" s="49">
        <f>E30</f>
        <v>69320.186600000001</v>
      </c>
      <c r="H30" s="48">
        <f t="shared" si="0"/>
        <v>99.550173155083073</v>
      </c>
      <c r="I30" s="49">
        <v>51352</v>
      </c>
      <c r="J30" s="48">
        <f t="shared" si="1"/>
        <v>74.07943128647031</v>
      </c>
    </row>
    <row r="31" spans="1:12" ht="15.6" collapsed="1">
      <c r="A31" s="196"/>
      <c r="B31" s="196"/>
      <c r="C31" s="196"/>
      <c r="D31" s="83"/>
      <c r="E31" s="83"/>
      <c r="F31" s="83"/>
      <c r="G31" s="83"/>
      <c r="H31" s="233"/>
      <c r="I31" s="83"/>
      <c r="J31" s="233"/>
    </row>
  </sheetData>
  <mergeCells count="9">
    <mergeCell ref="A2:J2"/>
    <mergeCell ref="A3:J3"/>
    <mergeCell ref="A5:A6"/>
    <mergeCell ref="B5:B6"/>
    <mergeCell ref="C5:C6"/>
    <mergeCell ref="D5:D6"/>
    <mergeCell ref="E5:H5"/>
    <mergeCell ref="I5:I6"/>
    <mergeCell ref="J5:J6"/>
  </mergeCells>
  <printOptions horizontalCentered="1"/>
  <pageMargins left="0.39370078740157483" right="0.19685039370078741" top="0.78740157480314965" bottom="0.39370078740157483" header="0.31496062992125984" footer="0.31496062992125984"/>
  <pageSetup paperSize="9" scale="6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00FF"/>
    <pageSetUpPr fitToPage="1"/>
  </sheetPr>
  <dimension ref="A1:L50"/>
  <sheetViews>
    <sheetView zoomScale="70" zoomScaleNormal="70" workbookViewId="0">
      <pane xSplit="2" ySplit="7" topLeftCell="C38" activePane="bottomRight" state="frozen"/>
      <selection activeCell="D60" sqref="D60"/>
      <selection pane="topRight" activeCell="D60" sqref="D60"/>
      <selection pane="bottomLeft" activeCell="D60" sqref="D60"/>
      <selection pane="bottomRight" activeCell="D60" sqref="D60"/>
    </sheetView>
  </sheetViews>
  <sheetFormatPr defaultColWidth="10.33203125" defaultRowHeight="13.2" outlineLevelRow="1"/>
  <cols>
    <col min="1" max="1" width="4.109375" style="197" customWidth="1"/>
    <col min="2" max="2" width="42.6640625" style="160" customWidth="1"/>
    <col min="3" max="3" width="12.33203125" style="160" customWidth="1"/>
    <col min="4" max="10" width="12.5546875" style="160" customWidth="1"/>
    <col min="11" max="16384" width="10.33203125" style="160"/>
  </cols>
  <sheetData>
    <row r="1" spans="1:10" ht="17.399999999999999" outlineLevel="1">
      <c r="B1" s="150"/>
      <c r="C1" s="151"/>
      <c r="D1" s="151"/>
      <c r="E1" s="151"/>
      <c r="F1" s="151"/>
      <c r="G1" s="151"/>
      <c r="H1" s="151"/>
      <c r="J1" s="152" t="s">
        <v>272</v>
      </c>
    </row>
    <row r="2" spans="1:10" ht="16.8" outlineLevel="1">
      <c r="A2" s="673" t="s">
        <v>300</v>
      </c>
      <c r="B2" s="673"/>
      <c r="C2" s="673"/>
      <c r="D2" s="673"/>
      <c r="E2" s="673"/>
      <c r="F2" s="673"/>
      <c r="G2" s="673"/>
      <c r="H2" s="673"/>
      <c r="I2" s="673"/>
      <c r="J2" s="673"/>
    </row>
    <row r="3" spans="1:10" ht="16.8" outlineLevel="1">
      <c r="A3" s="673" t="s">
        <v>301</v>
      </c>
      <c r="B3" s="673"/>
      <c r="C3" s="673"/>
      <c r="D3" s="673"/>
      <c r="E3" s="673"/>
      <c r="F3" s="673"/>
      <c r="G3" s="673"/>
      <c r="H3" s="673"/>
      <c r="I3" s="673"/>
      <c r="J3" s="673"/>
    </row>
    <row r="4" spans="1:10" ht="17.399999999999999" outlineLevel="1">
      <c r="A4" s="164"/>
      <c r="B4" s="164"/>
      <c r="C4" s="164"/>
      <c r="D4" s="164"/>
      <c r="E4" s="164"/>
      <c r="F4" s="164"/>
      <c r="G4" s="164"/>
      <c r="H4" s="164"/>
      <c r="I4" s="164"/>
      <c r="J4" s="164"/>
    </row>
    <row r="5" spans="1:10" s="161" customFormat="1" ht="26.25" customHeight="1">
      <c r="A5" s="654" t="s">
        <v>275</v>
      </c>
      <c r="B5" s="654" t="s">
        <v>42</v>
      </c>
      <c r="C5" s="654" t="s">
        <v>276</v>
      </c>
      <c r="D5" s="654" t="s">
        <v>277</v>
      </c>
      <c r="E5" s="654" t="s">
        <v>265</v>
      </c>
      <c r="F5" s="654"/>
      <c r="G5" s="654"/>
      <c r="H5" s="654"/>
      <c r="I5" s="654" t="s">
        <v>267</v>
      </c>
      <c r="J5" s="654" t="s">
        <v>269</v>
      </c>
    </row>
    <row r="6" spans="1:10" s="161" customFormat="1" ht="78">
      <c r="A6" s="654"/>
      <c r="B6" s="654"/>
      <c r="C6" s="654"/>
      <c r="D6" s="654"/>
      <c r="E6" s="7" t="s">
        <v>221</v>
      </c>
      <c r="F6" s="7" t="s">
        <v>474</v>
      </c>
      <c r="G6" s="7" t="s">
        <v>266</v>
      </c>
      <c r="H6" s="7" t="s">
        <v>268</v>
      </c>
      <c r="I6" s="654"/>
      <c r="J6" s="654"/>
    </row>
    <row r="7" spans="1:10" s="163" customFormat="1">
      <c r="A7" s="162">
        <v>1</v>
      </c>
      <c r="B7" s="162">
        <v>2</v>
      </c>
      <c r="C7" s="162">
        <v>3</v>
      </c>
      <c r="D7" s="162">
        <v>4</v>
      </c>
      <c r="E7" s="162">
        <v>5</v>
      </c>
      <c r="F7" s="162">
        <v>6</v>
      </c>
      <c r="G7" s="162">
        <v>7</v>
      </c>
      <c r="H7" s="162" t="s">
        <v>231</v>
      </c>
      <c r="I7" s="162">
        <v>9</v>
      </c>
      <c r="J7" s="162" t="s">
        <v>270</v>
      </c>
    </row>
    <row r="8" spans="1:10" s="151" customFormat="1" ht="24.9" customHeight="1">
      <c r="A8" s="165" t="s">
        <v>23</v>
      </c>
      <c r="B8" s="166" t="s">
        <v>302</v>
      </c>
      <c r="C8" s="165"/>
      <c r="D8" s="223"/>
      <c r="E8" s="223"/>
      <c r="F8" s="223"/>
      <c r="G8" s="223"/>
      <c r="H8" s="217"/>
      <c r="I8" s="223"/>
      <c r="J8" s="217"/>
    </row>
    <row r="9" spans="1:10" s="150" customFormat="1" ht="39.9" customHeight="1">
      <c r="A9" s="167">
        <v>1</v>
      </c>
      <c r="B9" s="12" t="s">
        <v>303</v>
      </c>
      <c r="C9" s="156"/>
      <c r="D9" s="224"/>
      <c r="E9" s="47"/>
      <c r="F9" s="224"/>
      <c r="G9" s="47"/>
      <c r="H9" s="218"/>
      <c r="I9" s="47"/>
      <c r="J9" s="53"/>
    </row>
    <row r="10" spans="1:10" s="168" customFormat="1" ht="24.9" customHeight="1">
      <c r="A10" s="156" t="s">
        <v>288</v>
      </c>
      <c r="B10" s="17" t="s">
        <v>304</v>
      </c>
      <c r="C10" s="156"/>
      <c r="D10" s="213"/>
      <c r="E10" s="49"/>
      <c r="F10" s="213"/>
      <c r="G10" s="49"/>
      <c r="H10" s="211"/>
      <c r="I10" s="49"/>
      <c r="J10" s="48"/>
    </row>
    <row r="11" spans="1:10" s="168" customFormat="1" ht="24.9" customHeight="1">
      <c r="A11" s="173" t="s">
        <v>65</v>
      </c>
      <c r="B11" s="17" t="s">
        <v>11</v>
      </c>
      <c r="C11" s="156" t="s">
        <v>6</v>
      </c>
      <c r="D11" s="211" t="e">
        <f>#REF!</f>
        <v>#REF!</v>
      </c>
      <c r="E11" s="211" t="e">
        <f>#REF!</f>
        <v>#REF!</v>
      </c>
      <c r="F11" s="211" t="e">
        <f>#REF!</f>
        <v>#REF!</v>
      </c>
      <c r="G11" s="211" t="e">
        <f>#REF!</f>
        <v>#REF!</v>
      </c>
      <c r="H11" s="48" t="str">
        <f t="shared" ref="H11:H47" si="0">IFERROR(G11/D11%,"")</f>
        <v/>
      </c>
      <c r="I11" s="211" t="e">
        <f>#REF!</f>
        <v>#REF!</v>
      </c>
      <c r="J11" s="48" t="str">
        <f t="shared" ref="J11:J47" si="1">IFERROR(I11/G11%,"")</f>
        <v/>
      </c>
    </row>
    <row r="12" spans="1:10" s="168" customFormat="1" ht="24.9" customHeight="1">
      <c r="A12" s="173" t="s">
        <v>65</v>
      </c>
      <c r="B12" s="17" t="s">
        <v>12</v>
      </c>
      <c r="C12" s="156" t="s">
        <v>47</v>
      </c>
      <c r="D12" s="213" t="e">
        <f>#REF!</f>
        <v>#REF!</v>
      </c>
      <c r="E12" s="213" t="e">
        <f>#REF!</f>
        <v>#REF!</v>
      </c>
      <c r="F12" s="213" t="e">
        <f>#REF!</f>
        <v>#REF!</v>
      </c>
      <c r="G12" s="213" t="e">
        <f>#REF!</f>
        <v>#REF!</v>
      </c>
      <c r="H12" s="48" t="str">
        <f t="shared" si="0"/>
        <v/>
      </c>
      <c r="I12" s="213" t="e">
        <f>#REF!</f>
        <v>#REF!</v>
      </c>
      <c r="J12" s="48" t="str">
        <f t="shared" si="1"/>
        <v/>
      </c>
    </row>
    <row r="13" spans="1:10" s="168" customFormat="1" ht="23.4" customHeight="1">
      <c r="A13" s="156" t="s">
        <v>295</v>
      </c>
      <c r="B13" s="17" t="s">
        <v>305</v>
      </c>
      <c r="C13" s="156"/>
      <c r="D13" s="213"/>
      <c r="E13" s="49"/>
      <c r="F13" s="213"/>
      <c r="G13" s="49"/>
      <c r="H13" s="48" t="str">
        <f t="shared" si="0"/>
        <v/>
      </c>
      <c r="I13" s="49"/>
      <c r="J13" s="48" t="str">
        <f t="shared" si="1"/>
        <v/>
      </c>
    </row>
    <row r="14" spans="1:10" s="168" customFormat="1" ht="23.4" customHeight="1">
      <c r="A14" s="173" t="s">
        <v>65</v>
      </c>
      <c r="B14" s="17" t="s">
        <v>11</v>
      </c>
      <c r="C14" s="156" t="s">
        <v>6</v>
      </c>
      <c r="D14" s="211" t="e">
        <f>#REF!</f>
        <v>#REF!</v>
      </c>
      <c r="E14" s="211" t="e">
        <f>#REF!</f>
        <v>#REF!</v>
      </c>
      <c r="F14" s="211" t="e">
        <f>#REF!</f>
        <v>#REF!</v>
      </c>
      <c r="G14" s="211" t="e">
        <f>#REF!</f>
        <v>#REF!</v>
      </c>
      <c r="H14" s="48" t="str">
        <f t="shared" si="0"/>
        <v/>
      </c>
      <c r="I14" s="211" t="e">
        <f>#REF!</f>
        <v>#REF!</v>
      </c>
      <c r="J14" s="48" t="str">
        <f t="shared" si="1"/>
        <v/>
      </c>
    </row>
    <row r="15" spans="1:10" s="168" customFormat="1" ht="23.4" customHeight="1">
      <c r="A15" s="173" t="s">
        <v>65</v>
      </c>
      <c r="B15" s="17" t="s">
        <v>12</v>
      </c>
      <c r="C15" s="156" t="s">
        <v>47</v>
      </c>
      <c r="D15" s="213" t="e">
        <f>#REF!</f>
        <v>#REF!</v>
      </c>
      <c r="E15" s="213" t="e">
        <f>#REF!</f>
        <v>#REF!</v>
      </c>
      <c r="F15" s="213" t="e">
        <f>#REF!</f>
        <v>#REF!</v>
      </c>
      <c r="G15" s="213" t="e">
        <f>#REF!</f>
        <v>#REF!</v>
      </c>
      <c r="H15" s="48" t="str">
        <f t="shared" si="0"/>
        <v/>
      </c>
      <c r="I15" s="213" t="e">
        <f>#REF!</f>
        <v>#REF!</v>
      </c>
      <c r="J15" s="48" t="str">
        <f t="shared" si="1"/>
        <v/>
      </c>
    </row>
    <row r="16" spans="1:10" s="168" customFormat="1" ht="23.4" customHeight="1">
      <c r="A16" s="156" t="s">
        <v>306</v>
      </c>
      <c r="B16" s="17" t="s">
        <v>307</v>
      </c>
      <c r="C16" s="1"/>
      <c r="D16" s="213"/>
      <c r="E16" s="49"/>
      <c r="F16" s="213"/>
      <c r="G16" s="49"/>
      <c r="H16" s="48" t="str">
        <f t="shared" si="0"/>
        <v/>
      </c>
      <c r="I16" s="49"/>
      <c r="J16" s="48" t="str">
        <f t="shared" si="1"/>
        <v/>
      </c>
    </row>
    <row r="17" spans="1:10" s="168" customFormat="1" ht="23.4" customHeight="1">
      <c r="A17" s="156" t="s">
        <v>308</v>
      </c>
      <c r="B17" s="17" t="s">
        <v>309</v>
      </c>
      <c r="C17" s="156"/>
      <c r="D17" s="213"/>
      <c r="E17" s="49"/>
      <c r="F17" s="213"/>
      <c r="G17" s="49"/>
      <c r="H17" s="48" t="str">
        <f t="shared" si="0"/>
        <v/>
      </c>
      <c r="I17" s="49"/>
      <c r="J17" s="48" t="str">
        <f t="shared" si="1"/>
        <v/>
      </c>
    </row>
    <row r="18" spans="1:10" s="168" customFormat="1" ht="23.4" customHeight="1">
      <c r="A18" s="173" t="s">
        <v>65</v>
      </c>
      <c r="B18" s="17" t="s">
        <v>11</v>
      </c>
      <c r="C18" s="156" t="s">
        <v>6</v>
      </c>
      <c r="D18" s="211" t="e">
        <f>#REF!</f>
        <v>#REF!</v>
      </c>
      <c r="E18" s="211" t="e">
        <f>#REF!</f>
        <v>#REF!</v>
      </c>
      <c r="F18" s="211" t="e">
        <f>#REF!</f>
        <v>#REF!</v>
      </c>
      <c r="G18" s="211" t="e">
        <f>#REF!</f>
        <v>#REF!</v>
      </c>
      <c r="H18" s="48" t="str">
        <f t="shared" si="0"/>
        <v/>
      </c>
      <c r="I18" s="211" t="e">
        <f>#REF!</f>
        <v>#REF!</v>
      </c>
      <c r="J18" s="48" t="str">
        <f t="shared" si="1"/>
        <v/>
      </c>
    </row>
    <row r="19" spans="1:10" s="168" customFormat="1" ht="23.4" customHeight="1">
      <c r="A19" s="173" t="s">
        <v>65</v>
      </c>
      <c r="B19" s="17" t="s">
        <v>12</v>
      </c>
      <c r="C19" s="156" t="s">
        <v>47</v>
      </c>
      <c r="D19" s="213" t="e">
        <f>#REF!</f>
        <v>#REF!</v>
      </c>
      <c r="E19" s="213" t="e">
        <f>#REF!</f>
        <v>#REF!</v>
      </c>
      <c r="F19" s="213" t="e">
        <f>#REF!</f>
        <v>#REF!</v>
      </c>
      <c r="G19" s="213" t="e">
        <f>#REF!</f>
        <v>#REF!</v>
      </c>
      <c r="H19" s="48" t="str">
        <f t="shared" si="0"/>
        <v/>
      </c>
      <c r="I19" s="213" t="e">
        <f>#REF!</f>
        <v>#REF!</v>
      </c>
      <c r="J19" s="48" t="str">
        <f t="shared" si="1"/>
        <v/>
      </c>
    </row>
    <row r="20" spans="1:10" s="168" customFormat="1" ht="23.4" customHeight="1">
      <c r="A20" s="156" t="s">
        <v>308</v>
      </c>
      <c r="B20" s="17" t="s">
        <v>310</v>
      </c>
      <c r="C20" s="156"/>
      <c r="D20" s="213"/>
      <c r="E20" s="49"/>
      <c r="F20" s="213"/>
      <c r="G20" s="49"/>
      <c r="H20" s="48" t="str">
        <f t="shared" si="0"/>
        <v/>
      </c>
      <c r="I20" s="49"/>
      <c r="J20" s="48" t="str">
        <f t="shared" si="1"/>
        <v/>
      </c>
    </row>
    <row r="21" spans="1:10" s="168" customFormat="1" ht="23.4" customHeight="1">
      <c r="A21" s="173" t="s">
        <v>65</v>
      </c>
      <c r="B21" s="17" t="s">
        <v>11</v>
      </c>
      <c r="C21" s="156" t="s">
        <v>6</v>
      </c>
      <c r="D21" s="211" t="e">
        <f>#REF!</f>
        <v>#REF!</v>
      </c>
      <c r="E21" s="211" t="e">
        <f>#REF!</f>
        <v>#REF!</v>
      </c>
      <c r="F21" s="211" t="e">
        <f>#REF!</f>
        <v>#REF!</v>
      </c>
      <c r="G21" s="211" t="e">
        <f>#REF!</f>
        <v>#REF!</v>
      </c>
      <c r="H21" s="48" t="str">
        <f t="shared" si="0"/>
        <v/>
      </c>
      <c r="I21" s="211" t="e">
        <f>#REF!</f>
        <v>#REF!</v>
      </c>
      <c r="J21" s="48" t="str">
        <f t="shared" si="1"/>
        <v/>
      </c>
    </row>
    <row r="22" spans="1:10" s="168" customFormat="1" ht="23.4" customHeight="1">
      <c r="A22" s="173" t="s">
        <v>65</v>
      </c>
      <c r="B22" s="17" t="s">
        <v>12</v>
      </c>
      <c r="C22" s="156" t="s">
        <v>47</v>
      </c>
      <c r="D22" s="213" t="e">
        <f>#REF!</f>
        <v>#REF!</v>
      </c>
      <c r="E22" s="213" t="e">
        <f>#REF!</f>
        <v>#REF!</v>
      </c>
      <c r="F22" s="213" t="e">
        <f>#REF!</f>
        <v>#REF!</v>
      </c>
      <c r="G22" s="213" t="e">
        <f>#REF!</f>
        <v>#REF!</v>
      </c>
      <c r="H22" s="48" t="str">
        <f t="shared" si="0"/>
        <v/>
      </c>
      <c r="I22" s="213" t="e">
        <f>#REF!</f>
        <v>#REF!</v>
      </c>
      <c r="J22" s="48" t="str">
        <f t="shared" si="1"/>
        <v/>
      </c>
    </row>
    <row r="23" spans="1:10" s="150" customFormat="1" ht="23.4" customHeight="1">
      <c r="A23" s="167">
        <v>2</v>
      </c>
      <c r="B23" s="12" t="s">
        <v>311</v>
      </c>
      <c r="C23" s="1"/>
      <c r="D23" s="224"/>
      <c r="E23" s="47"/>
      <c r="F23" s="224"/>
      <c r="G23" s="49"/>
      <c r="H23" s="48" t="str">
        <f t="shared" si="0"/>
        <v/>
      </c>
      <c r="I23" s="47"/>
      <c r="J23" s="48" t="str">
        <f t="shared" si="1"/>
        <v/>
      </c>
    </row>
    <row r="24" spans="1:10" s="168" customFormat="1" ht="23.4" customHeight="1">
      <c r="A24" s="173" t="s">
        <v>65</v>
      </c>
      <c r="B24" s="17" t="s">
        <v>312</v>
      </c>
      <c r="C24" s="156" t="s">
        <v>47</v>
      </c>
      <c r="D24" s="213"/>
      <c r="E24" s="49"/>
      <c r="F24" s="213"/>
      <c r="G24" s="49"/>
      <c r="H24" s="48" t="str">
        <f t="shared" si="0"/>
        <v/>
      </c>
      <c r="I24" s="49"/>
      <c r="J24" s="48" t="str">
        <f t="shared" si="1"/>
        <v/>
      </c>
    </row>
    <row r="25" spans="1:10" s="168" customFormat="1" ht="23.4" customHeight="1">
      <c r="A25" s="156"/>
      <c r="B25" s="27" t="s">
        <v>313</v>
      </c>
      <c r="C25" s="156" t="s">
        <v>47</v>
      </c>
      <c r="D25" s="49"/>
      <c r="E25" s="49"/>
      <c r="F25" s="213"/>
      <c r="G25" s="49"/>
      <c r="H25" s="48" t="str">
        <f t="shared" si="0"/>
        <v/>
      </c>
      <c r="I25" s="49"/>
      <c r="J25" s="48" t="str">
        <f t="shared" si="1"/>
        <v/>
      </c>
    </row>
    <row r="26" spans="1:10" s="150" customFormat="1" ht="24" customHeight="1">
      <c r="A26" s="167">
        <v>3</v>
      </c>
      <c r="B26" s="12" t="s">
        <v>49</v>
      </c>
      <c r="C26" s="1"/>
      <c r="D26" s="224"/>
      <c r="E26" s="47"/>
      <c r="F26" s="224"/>
      <c r="G26" s="49"/>
      <c r="H26" s="48" t="str">
        <f t="shared" si="0"/>
        <v/>
      </c>
      <c r="I26" s="47"/>
      <c r="J26" s="48" t="str">
        <f t="shared" si="1"/>
        <v/>
      </c>
    </row>
    <row r="27" spans="1:10" s="168" customFormat="1" ht="24" customHeight="1">
      <c r="A27" s="173" t="s">
        <v>65</v>
      </c>
      <c r="B27" s="17" t="s">
        <v>314</v>
      </c>
      <c r="C27" s="1" t="s">
        <v>20</v>
      </c>
      <c r="D27" s="213" t="e">
        <f>#REF!</f>
        <v>#REF!</v>
      </c>
      <c r="E27" s="213" t="e">
        <f>#REF!</f>
        <v>#REF!</v>
      </c>
      <c r="F27" s="213" t="e">
        <f>#REF!</f>
        <v>#REF!</v>
      </c>
      <c r="G27" s="213" t="e">
        <f>#REF!</f>
        <v>#REF!</v>
      </c>
      <c r="H27" s="48" t="str">
        <f t="shared" si="0"/>
        <v/>
      </c>
      <c r="I27" s="213" t="e">
        <f>#REF!</f>
        <v>#REF!</v>
      </c>
      <c r="J27" s="48" t="str">
        <f t="shared" si="1"/>
        <v/>
      </c>
    </row>
    <row r="28" spans="1:10" s="168" customFormat="1" ht="24" customHeight="1">
      <c r="A28" s="173" t="s">
        <v>65</v>
      </c>
      <c r="B28" s="17" t="s">
        <v>315</v>
      </c>
      <c r="C28" s="1" t="s">
        <v>16</v>
      </c>
      <c r="D28" s="211" t="e">
        <f>#REF!</f>
        <v>#REF!</v>
      </c>
      <c r="E28" s="211" t="e">
        <f>#REF!</f>
        <v>#REF!</v>
      </c>
      <c r="F28" s="211" t="e">
        <f>#REF!</f>
        <v>#REF!</v>
      </c>
      <c r="G28" s="211" t="e">
        <f>#REF!</f>
        <v>#REF!</v>
      </c>
      <c r="H28" s="48" t="str">
        <f t="shared" si="0"/>
        <v/>
      </c>
      <c r="I28" s="211" t="e">
        <f>#REF!</f>
        <v>#REF!</v>
      </c>
      <c r="J28" s="48" t="str">
        <f t="shared" si="1"/>
        <v/>
      </c>
    </row>
    <row r="29" spans="1:10" s="150" customFormat="1" ht="24" customHeight="1">
      <c r="A29" s="167">
        <v>4</v>
      </c>
      <c r="B29" s="12" t="s">
        <v>120</v>
      </c>
      <c r="C29" s="156" t="s">
        <v>47</v>
      </c>
      <c r="D29" s="224" t="e">
        <f>D30+D31</f>
        <v>#REF!</v>
      </c>
      <c r="E29" s="224" t="e">
        <f t="shared" ref="E29:I29" si="2">E30+E31</f>
        <v>#REF!</v>
      </c>
      <c r="F29" s="224" t="e">
        <f t="shared" si="2"/>
        <v>#REF!</v>
      </c>
      <c r="G29" s="224" t="e">
        <f t="shared" si="2"/>
        <v>#REF!</v>
      </c>
      <c r="H29" s="48" t="str">
        <f t="shared" si="0"/>
        <v/>
      </c>
      <c r="I29" s="224" t="e">
        <f t="shared" si="2"/>
        <v>#REF!</v>
      </c>
      <c r="J29" s="48" t="str">
        <f t="shared" si="1"/>
        <v/>
      </c>
    </row>
    <row r="30" spans="1:10" s="168" customFormat="1" ht="24" customHeight="1">
      <c r="A30" s="173" t="s">
        <v>65</v>
      </c>
      <c r="B30" s="17" t="s">
        <v>316</v>
      </c>
      <c r="C30" s="156" t="s">
        <v>47</v>
      </c>
      <c r="D30" s="213" t="e">
        <f>#REF!</f>
        <v>#REF!</v>
      </c>
      <c r="E30" s="213" t="e">
        <f>#REF!</f>
        <v>#REF!</v>
      </c>
      <c r="F30" s="213" t="e">
        <f>#REF!</f>
        <v>#REF!</v>
      </c>
      <c r="G30" s="213" t="e">
        <f>#REF!</f>
        <v>#REF!</v>
      </c>
      <c r="H30" s="48" t="str">
        <f t="shared" si="0"/>
        <v/>
      </c>
      <c r="I30" s="213" t="e">
        <f>#REF!</f>
        <v>#REF!</v>
      </c>
      <c r="J30" s="48" t="str">
        <f t="shared" si="1"/>
        <v/>
      </c>
    </row>
    <row r="31" spans="1:10" s="168" customFormat="1" ht="24" customHeight="1">
      <c r="A31" s="173" t="s">
        <v>65</v>
      </c>
      <c r="B31" s="17" t="s">
        <v>317</v>
      </c>
      <c r="C31" s="156" t="s">
        <v>47</v>
      </c>
      <c r="D31" s="213" t="e">
        <f>#REF!</f>
        <v>#REF!</v>
      </c>
      <c r="E31" s="213" t="e">
        <f>#REF!</f>
        <v>#REF!</v>
      </c>
      <c r="F31" s="213" t="e">
        <f>#REF!</f>
        <v>#REF!</v>
      </c>
      <c r="G31" s="213" t="e">
        <f>#REF!</f>
        <v>#REF!</v>
      </c>
      <c r="H31" s="48" t="str">
        <f t="shared" si="0"/>
        <v/>
      </c>
      <c r="I31" s="213" t="e">
        <f>#REF!</f>
        <v>#REF!</v>
      </c>
      <c r="J31" s="48" t="str">
        <f t="shared" si="1"/>
        <v/>
      </c>
    </row>
    <row r="32" spans="1:10" s="168" customFormat="1" ht="24" customHeight="1">
      <c r="A32" s="167">
        <v>5</v>
      </c>
      <c r="B32" s="12" t="s">
        <v>318</v>
      </c>
      <c r="C32" s="156"/>
      <c r="D32" s="213"/>
      <c r="E32" s="49"/>
      <c r="F32" s="213"/>
      <c r="G32" s="49"/>
      <c r="H32" s="48" t="str">
        <f t="shared" si="0"/>
        <v/>
      </c>
      <c r="I32" s="49"/>
      <c r="J32" s="48" t="str">
        <f t="shared" si="1"/>
        <v/>
      </c>
    </row>
    <row r="33" spans="1:12" s="168" customFormat="1" ht="39.9" customHeight="1">
      <c r="A33" s="173" t="s">
        <v>65</v>
      </c>
      <c r="B33" s="17" t="s">
        <v>319</v>
      </c>
      <c r="C33" s="156" t="s">
        <v>16</v>
      </c>
      <c r="D33" s="211">
        <v>89.1</v>
      </c>
      <c r="E33" s="48">
        <v>91.1</v>
      </c>
      <c r="F33" s="48">
        <v>91.1</v>
      </c>
      <c r="G33" s="48">
        <v>91.1</v>
      </c>
      <c r="H33" s="48">
        <f t="shared" si="0"/>
        <v>102.24466891133558</v>
      </c>
      <c r="I33" s="48">
        <v>91.5</v>
      </c>
      <c r="J33" s="48">
        <f t="shared" si="1"/>
        <v>100.4390779363337</v>
      </c>
      <c r="L33" s="215"/>
    </row>
    <row r="34" spans="1:12" s="168" customFormat="1" ht="39.9" customHeight="1">
      <c r="A34" s="173" t="s">
        <v>65</v>
      </c>
      <c r="B34" s="17" t="s">
        <v>320</v>
      </c>
      <c r="C34" s="156" t="s">
        <v>321</v>
      </c>
      <c r="D34" s="211">
        <f>72/8</f>
        <v>9</v>
      </c>
      <c r="E34" s="211">
        <f>95/8</f>
        <v>11.875</v>
      </c>
      <c r="F34" s="211">
        <f t="shared" ref="F34:G34" si="3">95/8</f>
        <v>11.875</v>
      </c>
      <c r="G34" s="211">
        <f t="shared" si="3"/>
        <v>11.875</v>
      </c>
      <c r="H34" s="48">
        <f t="shared" si="0"/>
        <v>131.94444444444446</v>
      </c>
      <c r="I34" s="48">
        <f>112/8</f>
        <v>14</v>
      </c>
      <c r="J34" s="48">
        <f t="shared" si="1"/>
        <v>117.89473684210527</v>
      </c>
    </row>
    <row r="35" spans="1:12" s="168" customFormat="1" ht="25.5" customHeight="1">
      <c r="A35" s="173" t="s">
        <v>65</v>
      </c>
      <c r="B35" s="17" t="s">
        <v>322</v>
      </c>
      <c r="C35" s="156" t="s">
        <v>323</v>
      </c>
      <c r="D35" s="213">
        <v>2</v>
      </c>
      <c r="E35" s="49">
        <v>2</v>
      </c>
      <c r="F35" s="213">
        <v>2</v>
      </c>
      <c r="G35" s="49">
        <v>2</v>
      </c>
      <c r="H35" s="48">
        <f t="shared" si="0"/>
        <v>100</v>
      </c>
      <c r="I35" s="49">
        <v>3</v>
      </c>
      <c r="J35" s="48">
        <f t="shared" si="1"/>
        <v>150</v>
      </c>
    </row>
    <row r="36" spans="1:12" s="168" customFormat="1" ht="24" customHeight="1">
      <c r="A36" s="173" t="s">
        <v>65</v>
      </c>
      <c r="B36" s="17" t="s">
        <v>324</v>
      </c>
      <c r="C36" s="156" t="s">
        <v>16</v>
      </c>
      <c r="D36" s="211">
        <f>D35/8%</f>
        <v>25</v>
      </c>
      <c r="E36" s="211">
        <f t="shared" ref="E36:I36" si="4">E35/8%</f>
        <v>25</v>
      </c>
      <c r="F36" s="211">
        <f t="shared" si="4"/>
        <v>25</v>
      </c>
      <c r="G36" s="211">
        <f t="shared" si="4"/>
        <v>25</v>
      </c>
      <c r="H36" s="48">
        <f t="shared" si="0"/>
        <v>100</v>
      </c>
      <c r="I36" s="211">
        <f t="shared" si="4"/>
        <v>37.5</v>
      </c>
      <c r="J36" s="48">
        <f t="shared" si="1"/>
        <v>150</v>
      </c>
    </row>
    <row r="37" spans="1:12" s="151" customFormat="1" ht="24" customHeight="1">
      <c r="A37" s="167" t="s">
        <v>24</v>
      </c>
      <c r="B37" s="12" t="s">
        <v>50</v>
      </c>
      <c r="C37" s="167"/>
      <c r="D37" s="224"/>
      <c r="E37" s="224"/>
      <c r="F37" s="224"/>
      <c r="G37" s="224"/>
      <c r="H37" s="48" t="str">
        <f t="shared" si="0"/>
        <v/>
      </c>
      <c r="I37" s="224"/>
      <c r="J37" s="48" t="str">
        <f t="shared" si="1"/>
        <v/>
      </c>
    </row>
    <row r="38" spans="1:12" s="151" customFormat="1" ht="39.9" customHeight="1">
      <c r="A38" s="167">
        <v>1</v>
      </c>
      <c r="B38" s="12" t="s">
        <v>325</v>
      </c>
      <c r="C38" s="8" t="s">
        <v>326</v>
      </c>
      <c r="D38" s="224" t="e">
        <f>#REF!</f>
        <v>#REF!</v>
      </c>
      <c r="E38" s="224" t="e">
        <f>#REF!</f>
        <v>#REF!</v>
      </c>
      <c r="F38" s="224" t="e">
        <f>#REF!</f>
        <v>#REF!</v>
      </c>
      <c r="G38" s="224" t="e">
        <f>#REF!</f>
        <v>#REF!</v>
      </c>
      <c r="H38" s="53" t="str">
        <f t="shared" si="0"/>
        <v/>
      </c>
      <c r="I38" s="224" t="e">
        <f>#REF!</f>
        <v>#REF!</v>
      </c>
      <c r="J38" s="48" t="str">
        <f t="shared" si="1"/>
        <v/>
      </c>
    </row>
    <row r="39" spans="1:12" s="151" customFormat="1" ht="24" customHeight="1">
      <c r="A39" s="167">
        <v>2</v>
      </c>
      <c r="B39" s="12" t="s">
        <v>327</v>
      </c>
      <c r="C39" s="167"/>
      <c r="D39" s="224"/>
      <c r="E39" s="224"/>
      <c r="F39" s="224"/>
      <c r="G39" s="224"/>
      <c r="H39" s="48" t="str">
        <f t="shared" si="0"/>
        <v/>
      </c>
      <c r="I39" s="224"/>
      <c r="J39" s="48" t="str">
        <f t="shared" si="1"/>
        <v/>
      </c>
    </row>
    <row r="40" spans="1:12" s="79" customFormat="1" ht="24" customHeight="1">
      <c r="A40" s="156"/>
      <c r="B40" s="17" t="e">
        <f>#REF!</f>
        <v>#REF!</v>
      </c>
      <c r="C40" s="156" t="e">
        <f>#REF!</f>
        <v>#REF!</v>
      </c>
      <c r="D40" s="213" t="e">
        <f>#REF!</f>
        <v>#REF!</v>
      </c>
      <c r="E40" s="213" t="e">
        <f>#REF!</f>
        <v>#REF!</v>
      </c>
      <c r="F40" s="213" t="e">
        <f>#REF!</f>
        <v>#REF!</v>
      </c>
      <c r="G40" s="213" t="e">
        <f>#REF!</f>
        <v>#REF!</v>
      </c>
      <c r="H40" s="48" t="str">
        <f t="shared" si="0"/>
        <v/>
      </c>
      <c r="I40" s="213" t="e">
        <f>#REF!</f>
        <v>#REF!</v>
      </c>
      <c r="J40" s="48" t="str">
        <f t="shared" si="1"/>
        <v/>
      </c>
    </row>
    <row r="41" spans="1:12" s="79" customFormat="1" ht="24" customHeight="1">
      <c r="A41" s="156"/>
      <c r="B41" s="17" t="e">
        <f>#REF!</f>
        <v>#REF!</v>
      </c>
      <c r="C41" s="156" t="e">
        <f>#REF!</f>
        <v>#REF!</v>
      </c>
      <c r="D41" s="213" t="e">
        <f>#REF!</f>
        <v>#REF!</v>
      </c>
      <c r="E41" s="213" t="e">
        <f>#REF!</f>
        <v>#REF!</v>
      </c>
      <c r="F41" s="213" t="e">
        <f>#REF!</f>
        <v>#REF!</v>
      </c>
      <c r="G41" s="213" t="e">
        <f>#REF!</f>
        <v>#REF!</v>
      </c>
      <c r="H41" s="48" t="str">
        <f t="shared" si="0"/>
        <v/>
      </c>
      <c r="I41" s="213" t="e">
        <f>#REF!</f>
        <v>#REF!</v>
      </c>
      <c r="J41" s="48" t="str">
        <f t="shared" si="1"/>
        <v/>
      </c>
    </row>
    <row r="42" spans="1:12" s="79" customFormat="1" ht="24" customHeight="1">
      <c r="A42" s="156"/>
      <c r="B42" s="17" t="e">
        <f>#REF!</f>
        <v>#REF!</v>
      </c>
      <c r="C42" s="156" t="e">
        <f>#REF!</f>
        <v>#REF!</v>
      </c>
      <c r="D42" s="213" t="e">
        <f>#REF!</f>
        <v>#REF!</v>
      </c>
      <c r="E42" s="213" t="e">
        <f>#REF!</f>
        <v>#REF!</v>
      </c>
      <c r="F42" s="213" t="e">
        <f>#REF!</f>
        <v>#REF!</v>
      </c>
      <c r="G42" s="213" t="e">
        <f>#REF!</f>
        <v>#REF!</v>
      </c>
      <c r="H42" s="48" t="str">
        <f t="shared" si="0"/>
        <v/>
      </c>
      <c r="I42" s="213" t="e">
        <f>#REF!</f>
        <v>#REF!</v>
      </c>
      <c r="J42" s="48" t="str">
        <f t="shared" si="1"/>
        <v/>
      </c>
    </row>
    <row r="43" spans="1:12" s="79" customFormat="1" ht="24" customHeight="1">
      <c r="A43" s="156"/>
      <c r="B43" s="17" t="e">
        <f>#REF!</f>
        <v>#REF!</v>
      </c>
      <c r="C43" s="156" t="e">
        <f>#REF!</f>
        <v>#REF!</v>
      </c>
      <c r="D43" s="213" t="e">
        <f>#REF!</f>
        <v>#REF!</v>
      </c>
      <c r="E43" s="213" t="e">
        <f>#REF!</f>
        <v>#REF!</v>
      </c>
      <c r="F43" s="213" t="e">
        <f>#REF!</f>
        <v>#REF!</v>
      </c>
      <c r="G43" s="213" t="e">
        <f>#REF!</f>
        <v>#REF!</v>
      </c>
      <c r="H43" s="48" t="str">
        <f t="shared" si="0"/>
        <v/>
      </c>
      <c r="I43" s="213" t="e">
        <f>#REF!</f>
        <v>#REF!</v>
      </c>
      <c r="J43" s="48" t="str">
        <f t="shared" si="1"/>
        <v/>
      </c>
    </row>
    <row r="44" spans="1:12" s="79" customFormat="1" ht="24" customHeight="1">
      <c r="A44" s="156"/>
      <c r="B44" s="17" t="e">
        <f>#REF!</f>
        <v>#REF!</v>
      </c>
      <c r="C44" s="156" t="e">
        <f>#REF!</f>
        <v>#REF!</v>
      </c>
      <c r="D44" s="213" t="e">
        <f>#REF!</f>
        <v>#REF!</v>
      </c>
      <c r="E44" s="213" t="e">
        <f>#REF!</f>
        <v>#REF!</v>
      </c>
      <c r="F44" s="213" t="e">
        <f>#REF!</f>
        <v>#REF!</v>
      </c>
      <c r="G44" s="213" t="e">
        <f>#REF!</f>
        <v>#REF!</v>
      </c>
      <c r="H44" s="48" t="str">
        <f t="shared" si="0"/>
        <v/>
      </c>
      <c r="I44" s="213" t="e">
        <f>#REF!</f>
        <v>#REF!</v>
      </c>
      <c r="J44" s="48" t="str">
        <f t="shared" si="1"/>
        <v/>
      </c>
    </row>
    <row r="45" spans="1:12" ht="24" customHeight="1">
      <c r="A45" s="156"/>
      <c r="B45" s="17" t="e">
        <f>#REF!</f>
        <v>#REF!</v>
      </c>
      <c r="C45" s="156" t="e">
        <f>#REF!</f>
        <v>#REF!</v>
      </c>
      <c r="D45" s="213" t="e">
        <f>#REF!</f>
        <v>#REF!</v>
      </c>
      <c r="E45" s="213" t="e">
        <f>#REF!</f>
        <v>#REF!</v>
      </c>
      <c r="F45" s="213" t="e">
        <f>#REF!</f>
        <v>#REF!</v>
      </c>
      <c r="G45" s="213" t="e">
        <f>#REF!</f>
        <v>#REF!</v>
      </c>
      <c r="H45" s="48" t="str">
        <f t="shared" si="0"/>
        <v/>
      </c>
      <c r="I45" s="213" t="e">
        <f>#REF!</f>
        <v>#REF!</v>
      </c>
      <c r="J45" s="48" t="str">
        <f t="shared" si="1"/>
        <v/>
      </c>
    </row>
    <row r="46" spans="1:12" s="151" customFormat="1" ht="24" customHeight="1">
      <c r="A46" s="167" t="s">
        <v>76</v>
      </c>
      <c r="B46" s="12" t="s">
        <v>328</v>
      </c>
      <c r="C46" s="167"/>
      <c r="D46" s="224"/>
      <c r="E46" s="224"/>
      <c r="F46" s="224"/>
      <c r="G46" s="224"/>
      <c r="H46" s="48" t="str">
        <f t="shared" si="0"/>
        <v/>
      </c>
      <c r="I46" s="224"/>
      <c r="J46" s="48" t="str">
        <f t="shared" si="1"/>
        <v/>
      </c>
    </row>
    <row r="47" spans="1:12" ht="39.9" customHeight="1">
      <c r="A47" s="173" t="s">
        <v>65</v>
      </c>
      <c r="B47" s="17" t="s">
        <v>329</v>
      </c>
      <c r="C47" s="1" t="s">
        <v>326</v>
      </c>
      <c r="D47" s="213" t="e">
        <f>#REF!</f>
        <v>#REF!</v>
      </c>
      <c r="E47" s="213" t="e">
        <f>#REF!</f>
        <v>#REF!</v>
      </c>
      <c r="F47" s="213" t="e">
        <f>#REF!</f>
        <v>#REF!</v>
      </c>
      <c r="G47" s="213" t="e">
        <f>#REF!</f>
        <v>#REF!</v>
      </c>
      <c r="H47" s="48" t="str">
        <f t="shared" si="0"/>
        <v/>
      </c>
      <c r="I47" s="213" t="e">
        <f>#REF!</f>
        <v>#REF!</v>
      </c>
      <c r="J47" s="48" t="str">
        <f t="shared" si="1"/>
        <v/>
      </c>
    </row>
    <row r="48" spans="1:12" ht="18" customHeight="1">
      <c r="A48" s="198"/>
      <c r="B48" s="196"/>
      <c r="C48" s="196"/>
      <c r="D48" s="219"/>
      <c r="E48" s="219"/>
      <c r="F48" s="219"/>
      <c r="G48" s="219"/>
      <c r="H48" s="219"/>
      <c r="I48" s="219"/>
      <c r="J48" s="219"/>
    </row>
    <row r="49" ht="18" customHeight="1"/>
    <row r="50" ht="18" customHeight="1"/>
  </sheetData>
  <mergeCells count="9">
    <mergeCell ref="A2:J2"/>
    <mergeCell ref="A3:J3"/>
    <mergeCell ref="A5:A6"/>
    <mergeCell ref="B5:B6"/>
    <mergeCell ref="C5:C6"/>
    <mergeCell ref="D5:D6"/>
    <mergeCell ref="E5:H5"/>
    <mergeCell ref="I5:I6"/>
    <mergeCell ref="J5:J6"/>
  </mergeCells>
  <pageMargins left="0.39370078740157483" right="0.19685039370078741" top="0.78740157480314965" bottom="0.39370078740157483" header="0.31496062992125984" footer="0.31496062992125984"/>
  <pageSetup paperSize="9" scale="98" fitToHeight="0" orientation="landscape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00FF"/>
    <pageSetUpPr fitToPage="1"/>
  </sheetPr>
  <dimension ref="A1:O180"/>
  <sheetViews>
    <sheetView zoomScale="70" zoomScaleNormal="70" zoomScaleSheetLayoutView="85" workbookViewId="0">
      <pane xSplit="2" ySplit="7" topLeftCell="C84" activePane="bottomRight" state="frozen"/>
      <selection activeCell="D60" sqref="D60"/>
      <selection pane="topRight" activeCell="D60" sqref="D60"/>
      <selection pane="bottomLeft" activeCell="D60" sqref="D60"/>
      <selection pane="bottomRight" activeCell="D60" sqref="D60"/>
    </sheetView>
  </sheetViews>
  <sheetFormatPr defaultColWidth="9.109375" defaultRowHeight="15.6" outlineLevelRow="1" outlineLevelCol="1"/>
  <cols>
    <col min="1" max="1" width="5.5546875" style="6" customWidth="1"/>
    <col min="2" max="2" width="39.109375" style="2" customWidth="1"/>
    <col min="3" max="3" width="12.109375" style="6" customWidth="1"/>
    <col min="4" max="4" width="12.109375" style="2" hidden="1" customWidth="1" outlineLevel="1"/>
    <col min="5" max="5" width="12.109375" style="2" customWidth="1" collapsed="1"/>
    <col min="6" max="12" width="12.109375" style="2" customWidth="1"/>
    <col min="13" max="13" width="10" style="2" bestFit="1" customWidth="1"/>
    <col min="14" max="14" width="9.109375" style="2" hidden="1" customWidth="1" outlineLevel="1"/>
    <col min="15" max="15" width="9.109375" style="2" collapsed="1"/>
    <col min="16" max="16384" width="9.109375" style="2"/>
  </cols>
  <sheetData>
    <row r="1" spans="1:14" ht="17.399999999999999" outlineLevel="1">
      <c r="A1" s="676" t="s">
        <v>467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</row>
    <row r="2" spans="1:14" ht="17.399999999999999" outlineLevel="1">
      <c r="A2" s="676" t="s">
        <v>466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</row>
    <row r="3" spans="1:14" ht="18" outlineLevel="1">
      <c r="A3" s="677" t="s">
        <v>499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</row>
    <row r="4" spans="1:14" outlineLevel="1"/>
    <row r="5" spans="1:14" ht="16.5" customHeight="1">
      <c r="A5" s="654" t="s">
        <v>32</v>
      </c>
      <c r="B5" s="654" t="s">
        <v>42</v>
      </c>
      <c r="C5" s="654" t="s">
        <v>4</v>
      </c>
      <c r="D5" s="654" t="s">
        <v>154</v>
      </c>
      <c r="E5" s="654" t="s">
        <v>182</v>
      </c>
      <c r="F5" s="654" t="s">
        <v>265</v>
      </c>
      <c r="G5" s="654"/>
      <c r="H5" s="654"/>
      <c r="I5" s="654"/>
      <c r="J5" s="678" t="s">
        <v>267</v>
      </c>
      <c r="K5" s="674" t="s">
        <v>271</v>
      </c>
      <c r="L5" s="674" t="s">
        <v>46</v>
      </c>
    </row>
    <row r="6" spans="1:14" ht="46.8">
      <c r="A6" s="654"/>
      <c r="B6" s="654"/>
      <c r="C6" s="654"/>
      <c r="D6" s="654"/>
      <c r="E6" s="654"/>
      <c r="F6" s="7" t="s">
        <v>221</v>
      </c>
      <c r="G6" s="7" t="s">
        <v>474</v>
      </c>
      <c r="H6" s="7" t="s">
        <v>266</v>
      </c>
      <c r="I6" s="7" t="s">
        <v>457</v>
      </c>
      <c r="J6" s="679"/>
      <c r="K6" s="675"/>
      <c r="L6" s="675"/>
    </row>
    <row r="7" spans="1:14">
      <c r="A7" s="7">
        <v>1</v>
      </c>
      <c r="B7" s="7">
        <v>2</v>
      </c>
      <c r="C7" s="7">
        <v>3</v>
      </c>
      <c r="D7" s="7"/>
      <c r="E7" s="7">
        <v>4</v>
      </c>
      <c r="F7" s="7">
        <v>5</v>
      </c>
      <c r="G7" s="7">
        <v>6</v>
      </c>
      <c r="H7" s="7">
        <v>7</v>
      </c>
      <c r="I7" s="7" t="s">
        <v>231</v>
      </c>
      <c r="J7" s="7">
        <v>9</v>
      </c>
      <c r="K7" s="7" t="s">
        <v>270</v>
      </c>
      <c r="L7" s="7">
        <v>11</v>
      </c>
    </row>
    <row r="8" spans="1:14" ht="20.25" customHeight="1">
      <c r="A8" s="8"/>
      <c r="B8" s="12" t="s">
        <v>77</v>
      </c>
      <c r="C8" s="21"/>
      <c r="D8" s="22"/>
      <c r="E8" s="22"/>
      <c r="F8" s="22"/>
      <c r="G8" s="22"/>
      <c r="H8" s="22"/>
      <c r="I8" s="53" t="str">
        <f t="shared" ref="I8:I66" si="0">IFERROR(H8/E8%,"")</f>
        <v/>
      </c>
      <c r="J8" s="22"/>
      <c r="K8" s="53" t="str">
        <f t="shared" ref="K8:K66" si="1">IFERROR(J8/H8%,"")</f>
        <v/>
      </c>
      <c r="L8" s="53"/>
      <c r="N8" s="226" t="str">
        <f t="shared" ref="N8:N68" si="2">IFERROR(H8/F8%,"")</f>
        <v/>
      </c>
    </row>
    <row r="9" spans="1:14" ht="20.25" customHeight="1">
      <c r="A9" s="1" t="s">
        <v>33</v>
      </c>
      <c r="B9" s="17" t="s">
        <v>169</v>
      </c>
      <c r="C9" s="1" t="s">
        <v>20</v>
      </c>
      <c r="D9" s="26">
        <f>D10+D60</f>
        <v>17898.73</v>
      </c>
      <c r="E9" s="26">
        <f>E10+E60</f>
        <v>17734.400000000001</v>
      </c>
      <c r="F9" s="26">
        <f>F10+F60</f>
        <v>18028.099999999999</v>
      </c>
      <c r="G9" s="26">
        <f t="shared" ref="G9:H9" si="3">G10+G60</f>
        <v>17558.370000000003</v>
      </c>
      <c r="H9" s="26">
        <f t="shared" si="3"/>
        <v>17600.77</v>
      </c>
      <c r="I9" s="48">
        <f t="shared" si="0"/>
        <v>99.246492692168886</v>
      </c>
      <c r="J9" s="26">
        <f>J10+J60</f>
        <v>17334.599999999999</v>
      </c>
      <c r="K9" s="48">
        <f t="shared" si="1"/>
        <v>98.487736616068489</v>
      </c>
      <c r="L9" s="3"/>
      <c r="N9" s="226">
        <f t="shared" si="2"/>
        <v>97.629644832234135</v>
      </c>
    </row>
    <row r="10" spans="1:14" ht="17.25" customHeight="1">
      <c r="A10" s="8" t="s">
        <v>21</v>
      </c>
      <c r="B10" s="12" t="s">
        <v>190</v>
      </c>
      <c r="C10" s="8" t="s">
        <v>20</v>
      </c>
      <c r="D10" s="24">
        <f>D11+D40+D47+D43+D56</f>
        <v>8084.73</v>
      </c>
      <c r="E10" s="24">
        <f>E11+E40+E47+E43+E56</f>
        <v>7662.8</v>
      </c>
      <c r="F10" s="24">
        <f>F11+F40+F47+F43+F56</f>
        <v>7906</v>
      </c>
      <c r="G10" s="24">
        <f t="shared" ref="G10:H10" si="4">G11+G40+G47+G43+G56</f>
        <v>7190.3700000000008</v>
      </c>
      <c r="H10" s="24">
        <f t="shared" si="4"/>
        <v>7221.170000000001</v>
      </c>
      <c r="I10" s="53">
        <f t="shared" si="0"/>
        <v>94.236701988829168</v>
      </c>
      <c r="J10" s="24">
        <f>J11+J40+J47+J43+J56</f>
        <v>6905</v>
      </c>
      <c r="K10" s="53">
        <f t="shared" si="1"/>
        <v>95.621623642706084</v>
      </c>
      <c r="L10" s="3"/>
      <c r="N10" s="226">
        <f t="shared" si="2"/>
        <v>91.337844674930437</v>
      </c>
    </row>
    <row r="11" spans="1:14" s="15" customFormat="1" ht="17.25" customHeight="1">
      <c r="A11" s="8">
        <v>1</v>
      </c>
      <c r="B11" s="12" t="s">
        <v>7</v>
      </c>
      <c r="C11" s="8" t="s">
        <v>20</v>
      </c>
      <c r="D11" s="24">
        <f>D16+D31</f>
        <v>1649.23</v>
      </c>
      <c r="E11" s="24">
        <f>E16+E31</f>
        <v>1641.6</v>
      </c>
      <c r="F11" s="24">
        <f>F16+F31</f>
        <v>1614</v>
      </c>
      <c r="G11" s="24">
        <f t="shared" ref="G11:H11" si="5">G16+G31</f>
        <v>1646.17</v>
      </c>
      <c r="H11" s="24">
        <f t="shared" si="5"/>
        <v>1652.97</v>
      </c>
      <c r="I11" s="53">
        <f t="shared" si="0"/>
        <v>100.69261695906432</v>
      </c>
      <c r="J11" s="24">
        <f>J16+J31</f>
        <v>1613</v>
      </c>
      <c r="K11" s="53">
        <f t="shared" si="1"/>
        <v>97.58192828665976</v>
      </c>
      <c r="L11" s="69"/>
      <c r="N11" s="226">
        <f t="shared" si="2"/>
        <v>102.41449814126393</v>
      </c>
    </row>
    <row r="12" spans="1:14" ht="17.25" customHeight="1">
      <c r="A12" s="1" t="s">
        <v>33</v>
      </c>
      <c r="B12" s="17" t="s">
        <v>8</v>
      </c>
      <c r="C12" s="1" t="s">
        <v>5</v>
      </c>
      <c r="D12" s="26">
        <f t="shared" ref="D12:J12" si="6">SUM(D13:D14)</f>
        <v>6733.6763900000005</v>
      </c>
      <c r="E12" s="26">
        <f t="shared" si="6"/>
        <v>7129.6886000000004</v>
      </c>
      <c r="F12" s="26">
        <f t="shared" si="6"/>
        <v>7071.0429999999997</v>
      </c>
      <c r="G12" s="26">
        <f t="shared" ref="G12:H12" si="7">SUM(G13:G14)</f>
        <v>3118.9459380221647</v>
      </c>
      <c r="H12" s="26">
        <f t="shared" si="7"/>
        <v>7402.6259380221645</v>
      </c>
      <c r="I12" s="48">
        <f t="shared" si="0"/>
        <v>103.82818035029138</v>
      </c>
      <c r="J12" s="26">
        <f t="shared" si="6"/>
        <v>7401</v>
      </c>
      <c r="K12" s="48">
        <f t="shared" si="1"/>
        <v>99.978035658754365</v>
      </c>
      <c r="L12" s="3"/>
      <c r="N12" s="226">
        <f t="shared" si="2"/>
        <v>104.68930733446486</v>
      </c>
    </row>
    <row r="13" spans="1:14" ht="17.25" customHeight="1">
      <c r="A13" s="1"/>
      <c r="B13" s="27" t="s">
        <v>9</v>
      </c>
      <c r="C13" s="1" t="s">
        <v>47</v>
      </c>
      <c r="D13" s="26">
        <f t="shared" ref="D13:J13" si="8">D18</f>
        <v>6298.7078300000003</v>
      </c>
      <c r="E13" s="26">
        <f t="shared" si="8"/>
        <v>6644.7176000000009</v>
      </c>
      <c r="F13" s="26">
        <f t="shared" si="8"/>
        <v>6644.5429999999997</v>
      </c>
      <c r="G13" s="26">
        <f t="shared" si="8"/>
        <v>2973.9459380221647</v>
      </c>
      <c r="H13" s="26">
        <f t="shared" si="8"/>
        <v>6956.6259380221645</v>
      </c>
      <c r="I13" s="48">
        <f t="shared" si="0"/>
        <v>104.69407967047634</v>
      </c>
      <c r="J13" s="26">
        <f t="shared" si="8"/>
        <v>6951</v>
      </c>
      <c r="K13" s="48">
        <f t="shared" si="1"/>
        <v>99.919128352274683</v>
      </c>
      <c r="L13" s="3"/>
      <c r="N13" s="226">
        <f t="shared" si="2"/>
        <v>104.69683073797798</v>
      </c>
    </row>
    <row r="14" spans="1:14" ht="17.25" customHeight="1">
      <c r="A14" s="1"/>
      <c r="B14" s="17" t="s">
        <v>61</v>
      </c>
      <c r="C14" s="1" t="s">
        <v>47</v>
      </c>
      <c r="D14" s="26">
        <f t="shared" ref="D14:J14" si="9">D33</f>
        <v>434.96856000000002</v>
      </c>
      <c r="E14" s="26">
        <f t="shared" si="9"/>
        <v>484.97099999999995</v>
      </c>
      <c r="F14" s="26">
        <f t="shared" si="9"/>
        <v>426.5</v>
      </c>
      <c r="G14" s="26">
        <f t="shared" si="9"/>
        <v>145</v>
      </c>
      <c r="H14" s="26">
        <f t="shared" si="9"/>
        <v>446</v>
      </c>
      <c r="I14" s="48">
        <f t="shared" si="0"/>
        <v>91.964261780601333</v>
      </c>
      <c r="J14" s="26">
        <f t="shared" si="9"/>
        <v>450</v>
      </c>
      <c r="K14" s="48">
        <f t="shared" si="1"/>
        <v>100.89686098654708</v>
      </c>
      <c r="L14" s="3"/>
      <c r="N14" s="226">
        <f t="shared" si="2"/>
        <v>104.57209847596718</v>
      </c>
    </row>
    <row r="15" spans="1:14" ht="17.25" customHeight="1">
      <c r="A15" s="1" t="s">
        <v>33</v>
      </c>
      <c r="B15" s="17" t="s">
        <v>10</v>
      </c>
      <c r="C15" s="1" t="s">
        <v>34</v>
      </c>
      <c r="D15" s="26">
        <f>D12/D116*1000</f>
        <v>150.81697702024726</v>
      </c>
      <c r="E15" s="26">
        <f>E12/E116*1000</f>
        <v>155.57664284545305</v>
      </c>
      <c r="F15" s="26">
        <f>F12/F116*1000</f>
        <v>150.66410270068715</v>
      </c>
      <c r="G15" s="26">
        <f t="shared" ref="G15:J15" si="10">G12/G116*1000</f>
        <v>66.724698364952658</v>
      </c>
      <c r="H15" s="26">
        <f t="shared" si="10"/>
        <v>157.72920551903616</v>
      </c>
      <c r="I15" s="48">
        <f t="shared" si="0"/>
        <v>101.38360272738461</v>
      </c>
      <c r="J15" s="26">
        <f t="shared" si="10"/>
        <v>154.11525847259097</v>
      </c>
      <c r="K15" s="48">
        <f t="shared" si="1"/>
        <v>97.708764819709288</v>
      </c>
      <c r="L15" s="3"/>
      <c r="N15" s="226">
        <f t="shared" si="2"/>
        <v>104.68930733446487</v>
      </c>
    </row>
    <row r="16" spans="1:14" s="15" customFormat="1" ht="17.25" customHeight="1">
      <c r="A16" s="8" t="s">
        <v>17</v>
      </c>
      <c r="B16" s="36" t="s">
        <v>191</v>
      </c>
      <c r="C16" s="8" t="s">
        <v>20</v>
      </c>
      <c r="D16" s="13">
        <f>D19+D22</f>
        <v>1558.31</v>
      </c>
      <c r="E16" s="13">
        <f>E19+E22</f>
        <v>1540</v>
      </c>
      <c r="F16" s="13">
        <f>F19+F22</f>
        <v>1531</v>
      </c>
      <c r="G16" s="13">
        <f t="shared" ref="G16:H16" si="11">G19+G22</f>
        <v>1560.97</v>
      </c>
      <c r="H16" s="13">
        <f t="shared" si="11"/>
        <v>1567.77</v>
      </c>
      <c r="I16" s="53">
        <f t="shared" si="0"/>
        <v>101.80324675324675</v>
      </c>
      <c r="J16" s="13">
        <f>J19+J22</f>
        <v>1530</v>
      </c>
      <c r="K16" s="53">
        <f t="shared" si="1"/>
        <v>97.590845595973903</v>
      </c>
      <c r="L16" s="69"/>
      <c r="N16" s="226">
        <f t="shared" si="2"/>
        <v>102.40169823644676</v>
      </c>
    </row>
    <row r="17" spans="1:14" ht="17.25" customHeight="1">
      <c r="A17" s="1"/>
      <c r="B17" s="29" t="s">
        <v>11</v>
      </c>
      <c r="C17" s="1" t="s">
        <v>6</v>
      </c>
      <c r="D17" s="30">
        <f t="shared" ref="D17:J17" si="12">D18/D16*10</f>
        <v>40.420120707689748</v>
      </c>
      <c r="E17" s="30">
        <f t="shared" si="12"/>
        <v>43.147516883116886</v>
      </c>
      <c r="F17" s="30">
        <f t="shared" si="12"/>
        <v>43.400019595035921</v>
      </c>
      <c r="G17" s="30">
        <f t="shared" si="12"/>
        <v>19.051909633254738</v>
      </c>
      <c r="H17" s="30">
        <f t="shared" si="12"/>
        <v>44.372745606958702</v>
      </c>
      <c r="I17" s="48">
        <f t="shared" si="0"/>
        <v>102.83962742783289</v>
      </c>
      <c r="J17" s="30">
        <f t="shared" si="12"/>
        <v>45.431372549019606</v>
      </c>
      <c r="K17" s="48">
        <f t="shared" si="1"/>
        <v>102.38575938355928</v>
      </c>
      <c r="L17" s="3"/>
      <c r="N17" s="226">
        <f t="shared" si="2"/>
        <v>102.24130316299221</v>
      </c>
    </row>
    <row r="18" spans="1:14" ht="17.25" customHeight="1">
      <c r="A18" s="1"/>
      <c r="B18" s="29" t="s">
        <v>12</v>
      </c>
      <c r="C18" s="1" t="s">
        <v>47</v>
      </c>
      <c r="D18" s="19">
        <f>D21+D24</f>
        <v>6298.7078300000003</v>
      </c>
      <c r="E18" s="19">
        <f>E21+E24</f>
        <v>6644.7176000000009</v>
      </c>
      <c r="F18" s="19">
        <f>F21+F24</f>
        <v>6644.5429999999997</v>
      </c>
      <c r="G18" s="19">
        <f t="shared" ref="G18:H18" si="13">G21+G24</f>
        <v>2973.9459380221647</v>
      </c>
      <c r="H18" s="19">
        <f t="shared" si="13"/>
        <v>6956.6259380221645</v>
      </c>
      <c r="I18" s="48">
        <f t="shared" si="0"/>
        <v>104.69407967047634</v>
      </c>
      <c r="J18" s="19">
        <f>J21+J24</f>
        <v>6951</v>
      </c>
      <c r="K18" s="48">
        <f t="shared" si="1"/>
        <v>99.919128352274683</v>
      </c>
      <c r="L18" s="3"/>
      <c r="N18" s="226">
        <f t="shared" si="2"/>
        <v>104.69683073797798</v>
      </c>
    </row>
    <row r="19" spans="1:14" ht="17.25" customHeight="1">
      <c r="A19" s="1" t="s">
        <v>183</v>
      </c>
      <c r="B19" s="100" t="s">
        <v>192</v>
      </c>
      <c r="C19" s="1" t="s">
        <v>20</v>
      </c>
      <c r="D19" s="19">
        <v>597.30999999999995</v>
      </c>
      <c r="E19" s="119">
        <v>570.5</v>
      </c>
      <c r="F19" s="49">
        <v>571</v>
      </c>
      <c r="G19" s="49">
        <v>573.87</v>
      </c>
      <c r="H19" s="49">
        <v>573.87</v>
      </c>
      <c r="I19" s="48">
        <f t="shared" si="0"/>
        <v>100.59070990359334</v>
      </c>
      <c r="J19" s="49">
        <v>570</v>
      </c>
      <c r="K19" s="48">
        <f t="shared" si="1"/>
        <v>99.325631240524856</v>
      </c>
      <c r="L19" s="3"/>
      <c r="N19" s="226">
        <f t="shared" si="2"/>
        <v>100.50262697022767</v>
      </c>
    </row>
    <row r="20" spans="1:14" ht="17.25" customHeight="1">
      <c r="A20" s="1"/>
      <c r="B20" s="100" t="s">
        <v>11</v>
      </c>
      <c r="C20" s="1" t="s">
        <v>6</v>
      </c>
      <c r="D20" s="22">
        <v>39.33</v>
      </c>
      <c r="E20" s="30">
        <v>47.2</v>
      </c>
      <c r="F20" s="48">
        <v>47.33</v>
      </c>
      <c r="G20" s="48">
        <v>51.822641678815145</v>
      </c>
      <c r="H20" s="48">
        <v>51.822641678815145</v>
      </c>
      <c r="I20" s="48">
        <f t="shared" si="0"/>
        <v>109.79373237037106</v>
      </c>
      <c r="J20" s="48">
        <v>52</v>
      </c>
      <c r="K20" s="48">
        <f t="shared" si="1"/>
        <v>100.34224098857038</v>
      </c>
      <c r="L20" s="3"/>
      <c r="N20" s="226">
        <f t="shared" si="2"/>
        <v>109.49216496686066</v>
      </c>
    </row>
    <row r="21" spans="1:14" ht="17.25" customHeight="1">
      <c r="A21" s="1"/>
      <c r="B21" s="101" t="s">
        <v>12</v>
      </c>
      <c r="C21" s="1" t="s">
        <v>47</v>
      </c>
      <c r="D21" s="19">
        <f t="shared" ref="D21:J21" si="14">D19*D20/10</f>
        <v>2349.2202299999999</v>
      </c>
      <c r="E21" s="19">
        <f t="shared" si="14"/>
        <v>2692.76</v>
      </c>
      <c r="F21" s="19">
        <f t="shared" si="14"/>
        <v>2702.5430000000001</v>
      </c>
      <c r="G21" s="19">
        <f t="shared" si="14"/>
        <v>2973.9459380221647</v>
      </c>
      <c r="H21" s="19">
        <f t="shared" si="14"/>
        <v>2973.9459380221647</v>
      </c>
      <c r="I21" s="48">
        <f t="shared" si="0"/>
        <v>110.44229482100761</v>
      </c>
      <c r="J21" s="19">
        <f t="shared" si="14"/>
        <v>2964</v>
      </c>
      <c r="K21" s="48">
        <f t="shared" si="1"/>
        <v>99.665564262786191</v>
      </c>
      <c r="L21" s="3"/>
      <c r="N21" s="226">
        <f t="shared" si="2"/>
        <v>110.04250211827026</v>
      </c>
    </row>
    <row r="22" spans="1:14" ht="17.25" customHeight="1">
      <c r="A22" s="1" t="s">
        <v>184</v>
      </c>
      <c r="B22" s="100" t="s">
        <v>193</v>
      </c>
      <c r="C22" s="1" t="s">
        <v>20</v>
      </c>
      <c r="D22" s="19">
        <f>D25+D28</f>
        <v>961</v>
      </c>
      <c r="E22" s="26">
        <f>E25+E28</f>
        <v>969.5</v>
      </c>
      <c r="F22" s="26">
        <f>F25+F28</f>
        <v>960</v>
      </c>
      <c r="G22" s="26">
        <f t="shared" ref="G22:H22" si="15">G25+G28</f>
        <v>987.1</v>
      </c>
      <c r="H22" s="26">
        <f t="shared" si="15"/>
        <v>993.9</v>
      </c>
      <c r="I22" s="48">
        <f t="shared" si="0"/>
        <v>102.51676121712222</v>
      </c>
      <c r="J22" s="26">
        <f>J25+J28</f>
        <v>960</v>
      </c>
      <c r="K22" s="48">
        <f t="shared" si="1"/>
        <v>96.589194083911863</v>
      </c>
      <c r="L22" s="3"/>
      <c r="N22" s="226">
        <f t="shared" si="2"/>
        <v>103.53125</v>
      </c>
    </row>
    <row r="23" spans="1:14" ht="17.25" customHeight="1">
      <c r="A23" s="1"/>
      <c r="B23" s="101" t="s">
        <v>11</v>
      </c>
      <c r="C23" s="1" t="s">
        <v>6</v>
      </c>
      <c r="D23" s="30">
        <f t="shared" ref="D23:J23" si="16">D24/D22*10</f>
        <v>41.097685744016658</v>
      </c>
      <c r="E23" s="25">
        <f t="shared" si="16"/>
        <v>40.762842702423939</v>
      </c>
      <c r="F23" s="25">
        <f t="shared" si="16"/>
        <v>41.0625</v>
      </c>
      <c r="G23" s="25">
        <f t="shared" si="16"/>
        <v>0</v>
      </c>
      <c r="H23" s="25">
        <f t="shared" si="16"/>
        <v>40.071234530636886</v>
      </c>
      <c r="I23" s="48">
        <f t="shared" si="0"/>
        <v>98.303336750000682</v>
      </c>
      <c r="J23" s="25">
        <f t="shared" si="16"/>
        <v>41.53125</v>
      </c>
      <c r="K23" s="48">
        <f t="shared" si="1"/>
        <v>103.64355000903915</v>
      </c>
      <c r="L23" s="3"/>
      <c r="N23" s="226">
        <f t="shared" si="2"/>
        <v>97.58595928313396</v>
      </c>
    </row>
    <row r="24" spans="1:14" ht="17.25" customHeight="1">
      <c r="A24" s="1"/>
      <c r="B24" s="101" t="s">
        <v>12</v>
      </c>
      <c r="C24" s="1" t="s">
        <v>47</v>
      </c>
      <c r="D24" s="19">
        <f>D27+D30</f>
        <v>3949.4876000000004</v>
      </c>
      <c r="E24" s="26">
        <f>E27+E30</f>
        <v>3951.9576000000006</v>
      </c>
      <c r="F24" s="26">
        <f>F27+F30</f>
        <v>3942</v>
      </c>
      <c r="G24" s="26">
        <f t="shared" ref="G24:H24" si="17">G27+G30</f>
        <v>0</v>
      </c>
      <c r="H24" s="26">
        <f t="shared" si="17"/>
        <v>3982.68</v>
      </c>
      <c r="I24" s="48">
        <f t="shared" si="0"/>
        <v>100.77739700446176</v>
      </c>
      <c r="J24" s="26">
        <f>J27+J30</f>
        <v>3987</v>
      </c>
      <c r="K24" s="48">
        <f t="shared" si="1"/>
        <v>100.10846967368707</v>
      </c>
      <c r="L24" s="3"/>
      <c r="N24" s="226">
        <f t="shared" si="2"/>
        <v>101.03196347031962</v>
      </c>
    </row>
    <row r="25" spans="1:14" ht="17.25" customHeight="1">
      <c r="A25" s="1"/>
      <c r="B25" s="98" t="s">
        <v>194</v>
      </c>
      <c r="C25" s="1" t="s">
        <v>20</v>
      </c>
      <c r="D25" s="19">
        <v>906.4</v>
      </c>
      <c r="E25" s="30">
        <v>903.3</v>
      </c>
      <c r="F25" s="19">
        <v>900</v>
      </c>
      <c r="G25" s="19">
        <v>893.2</v>
      </c>
      <c r="H25" s="19">
        <v>900</v>
      </c>
      <c r="I25" s="48">
        <f t="shared" si="0"/>
        <v>99.63467286615743</v>
      </c>
      <c r="J25" s="19">
        <v>900</v>
      </c>
      <c r="K25" s="48">
        <f t="shared" si="1"/>
        <v>100</v>
      </c>
      <c r="L25" s="3"/>
      <c r="N25" s="226">
        <f t="shared" si="2"/>
        <v>100</v>
      </c>
    </row>
    <row r="26" spans="1:14" ht="17.25" customHeight="1">
      <c r="A26" s="1"/>
      <c r="B26" s="99" t="s">
        <v>11</v>
      </c>
      <c r="C26" s="1" t="s">
        <v>6</v>
      </c>
      <c r="D26" s="22">
        <v>42.83</v>
      </c>
      <c r="E26" s="30">
        <v>42.84</v>
      </c>
      <c r="F26" s="30">
        <v>43</v>
      </c>
      <c r="G26" s="30"/>
      <c r="H26" s="30">
        <v>43</v>
      </c>
      <c r="I26" s="48">
        <f t="shared" si="0"/>
        <v>100.37348272642389</v>
      </c>
      <c r="J26" s="30">
        <v>43.5</v>
      </c>
      <c r="K26" s="48">
        <f t="shared" si="1"/>
        <v>101.16279069767442</v>
      </c>
      <c r="L26" s="3"/>
      <c r="N26" s="226">
        <f t="shared" si="2"/>
        <v>100</v>
      </c>
    </row>
    <row r="27" spans="1:14" ht="17.25" customHeight="1">
      <c r="A27" s="1"/>
      <c r="B27" s="99" t="s">
        <v>12</v>
      </c>
      <c r="C27" s="1" t="s">
        <v>47</v>
      </c>
      <c r="D27" s="19">
        <f>D26*D25/10</f>
        <v>3882.1112000000003</v>
      </c>
      <c r="E27" s="19">
        <f t="shared" ref="E27:J27" si="18">E25*E26/10</f>
        <v>3869.7372000000005</v>
      </c>
      <c r="F27" s="19">
        <f t="shared" si="18"/>
        <v>3870</v>
      </c>
      <c r="G27" s="19">
        <f t="shared" si="18"/>
        <v>0</v>
      </c>
      <c r="H27" s="19">
        <f t="shared" si="18"/>
        <v>3870</v>
      </c>
      <c r="I27" s="48">
        <f t="shared" si="0"/>
        <v>100.00679115884148</v>
      </c>
      <c r="J27" s="19">
        <f t="shared" si="18"/>
        <v>3915</v>
      </c>
      <c r="K27" s="48">
        <f t="shared" si="1"/>
        <v>101.16279069767441</v>
      </c>
      <c r="L27" s="3"/>
      <c r="N27" s="226">
        <f t="shared" si="2"/>
        <v>99.999999999999986</v>
      </c>
    </row>
    <row r="28" spans="1:14" ht="17.25" customHeight="1">
      <c r="A28" s="1"/>
      <c r="B28" s="98" t="s">
        <v>207</v>
      </c>
      <c r="C28" s="1" t="s">
        <v>20</v>
      </c>
      <c r="D28" s="19">
        <v>54.6</v>
      </c>
      <c r="E28" s="19">
        <v>66.2</v>
      </c>
      <c r="F28" s="19">
        <v>60</v>
      </c>
      <c r="G28" s="19">
        <v>93.9</v>
      </c>
      <c r="H28" s="19">
        <v>93.9</v>
      </c>
      <c r="I28" s="48">
        <f t="shared" si="0"/>
        <v>141.8429003021148</v>
      </c>
      <c r="J28" s="19">
        <v>60</v>
      </c>
      <c r="K28" s="48">
        <f t="shared" si="1"/>
        <v>63.897763578274756</v>
      </c>
      <c r="L28" s="3"/>
      <c r="N28" s="226">
        <f t="shared" si="2"/>
        <v>156.50000000000003</v>
      </c>
    </row>
    <row r="29" spans="1:14" ht="17.25" customHeight="1">
      <c r="A29" s="1"/>
      <c r="B29" s="99" t="s">
        <v>11</v>
      </c>
      <c r="C29" s="1" t="s">
        <v>6</v>
      </c>
      <c r="D29" s="30">
        <v>12.34</v>
      </c>
      <c r="E29" s="30">
        <v>12.42</v>
      </c>
      <c r="F29" s="30">
        <v>12</v>
      </c>
      <c r="G29" s="30"/>
      <c r="H29" s="30">
        <v>12</v>
      </c>
      <c r="I29" s="48">
        <f t="shared" si="0"/>
        <v>96.618357487922708</v>
      </c>
      <c r="J29" s="30">
        <v>12</v>
      </c>
      <c r="K29" s="48">
        <f t="shared" si="1"/>
        <v>100</v>
      </c>
      <c r="L29" s="3"/>
      <c r="N29" s="226">
        <f t="shared" si="2"/>
        <v>100</v>
      </c>
    </row>
    <row r="30" spans="1:14" ht="17.25" customHeight="1">
      <c r="A30" s="1"/>
      <c r="B30" s="99" t="s">
        <v>12</v>
      </c>
      <c r="C30" s="1" t="s">
        <v>47</v>
      </c>
      <c r="D30" s="19">
        <f t="shared" ref="D30:J30" si="19">D29*D28/10</f>
        <v>67.376400000000004</v>
      </c>
      <c r="E30" s="19">
        <f t="shared" si="19"/>
        <v>82.220400000000012</v>
      </c>
      <c r="F30" s="19">
        <f t="shared" si="19"/>
        <v>72</v>
      </c>
      <c r="G30" s="19">
        <f t="shared" si="19"/>
        <v>0</v>
      </c>
      <c r="H30" s="19">
        <f t="shared" si="19"/>
        <v>112.68000000000002</v>
      </c>
      <c r="I30" s="48">
        <f t="shared" si="0"/>
        <v>137.04628048513507</v>
      </c>
      <c r="J30" s="19">
        <f t="shared" si="19"/>
        <v>72</v>
      </c>
      <c r="K30" s="48">
        <f t="shared" si="1"/>
        <v>63.897763578274748</v>
      </c>
      <c r="L30" s="3"/>
      <c r="N30" s="226">
        <f t="shared" si="2"/>
        <v>156.50000000000003</v>
      </c>
    </row>
    <row r="31" spans="1:14" s="15" customFormat="1" ht="17.25" customHeight="1">
      <c r="A31" s="8" t="s">
        <v>18</v>
      </c>
      <c r="B31" s="36" t="s">
        <v>195</v>
      </c>
      <c r="C31" s="8" t="s">
        <v>20</v>
      </c>
      <c r="D31" s="13">
        <f>D34+D37</f>
        <v>90.92</v>
      </c>
      <c r="E31" s="13">
        <f>E34+E37</f>
        <v>101.6</v>
      </c>
      <c r="F31" s="13">
        <f>F34+F37</f>
        <v>83</v>
      </c>
      <c r="G31" s="13">
        <f t="shared" ref="G31:H31" si="20">G34+G37</f>
        <v>85.2</v>
      </c>
      <c r="H31" s="13">
        <f t="shared" si="20"/>
        <v>85.2</v>
      </c>
      <c r="I31" s="53">
        <f t="shared" si="0"/>
        <v>83.858267716535437</v>
      </c>
      <c r="J31" s="13">
        <f>J34+J37</f>
        <v>83</v>
      </c>
      <c r="K31" s="53">
        <f t="shared" si="1"/>
        <v>97.417840375586863</v>
      </c>
      <c r="L31" s="69"/>
      <c r="N31" s="226">
        <f t="shared" si="2"/>
        <v>102.65060240963857</v>
      </c>
    </row>
    <row r="32" spans="1:14" ht="17.25" customHeight="1">
      <c r="A32" s="1"/>
      <c r="B32" s="29" t="s">
        <v>11</v>
      </c>
      <c r="C32" s="1" t="s">
        <v>6</v>
      </c>
      <c r="D32" s="30">
        <f t="shared" ref="D32:J32" si="21">D33/D31*10</f>
        <v>47.840800703915534</v>
      </c>
      <c r="E32" s="30">
        <f t="shared" si="21"/>
        <v>47.733366141732283</v>
      </c>
      <c r="F32" s="30">
        <f t="shared" si="21"/>
        <v>51.385542168674696</v>
      </c>
      <c r="G32" s="30">
        <f t="shared" si="21"/>
        <v>17.018779342723004</v>
      </c>
      <c r="H32" s="30">
        <f t="shared" si="21"/>
        <v>52.347417840375584</v>
      </c>
      <c r="I32" s="48">
        <f t="shared" si="0"/>
        <v>109.66630278062317</v>
      </c>
      <c r="J32" s="30">
        <f t="shared" si="21"/>
        <v>54.216867469879517</v>
      </c>
      <c r="K32" s="48">
        <f t="shared" si="1"/>
        <v>103.57123561510616</v>
      </c>
      <c r="L32" s="3"/>
      <c r="N32" s="226">
        <f t="shared" si="2"/>
        <v>101.87187997071921</v>
      </c>
    </row>
    <row r="33" spans="1:14" ht="17.25" customHeight="1">
      <c r="A33" s="1"/>
      <c r="B33" s="29" t="s">
        <v>12</v>
      </c>
      <c r="C33" s="1" t="s">
        <v>47</v>
      </c>
      <c r="D33" s="19">
        <f>D36+D39</f>
        <v>434.96856000000002</v>
      </c>
      <c r="E33" s="19">
        <f>E36+E39</f>
        <v>484.97099999999995</v>
      </c>
      <c r="F33" s="19">
        <f>F36+F39</f>
        <v>426.5</v>
      </c>
      <c r="G33" s="19">
        <f t="shared" ref="G33:H33" si="22">G36+G39</f>
        <v>145</v>
      </c>
      <c r="H33" s="19">
        <f t="shared" si="22"/>
        <v>446</v>
      </c>
      <c r="I33" s="48">
        <f t="shared" si="0"/>
        <v>91.964261780601333</v>
      </c>
      <c r="J33" s="19">
        <f>J36+J39</f>
        <v>450</v>
      </c>
      <c r="K33" s="48">
        <f t="shared" si="1"/>
        <v>100.89686098654708</v>
      </c>
      <c r="L33" s="3"/>
      <c r="N33" s="226">
        <f t="shared" si="2"/>
        <v>104.57209847596718</v>
      </c>
    </row>
    <row r="34" spans="1:14" ht="17.25" customHeight="1">
      <c r="A34" s="1" t="s">
        <v>185</v>
      </c>
      <c r="B34" s="100" t="s">
        <v>208</v>
      </c>
      <c r="C34" s="1" t="s">
        <v>20</v>
      </c>
      <c r="D34" s="26">
        <v>28.22</v>
      </c>
      <c r="E34" s="26">
        <v>38.700000000000003</v>
      </c>
      <c r="F34" s="26">
        <v>23</v>
      </c>
      <c r="G34" s="26">
        <v>25</v>
      </c>
      <c r="H34" s="26">
        <v>25</v>
      </c>
      <c r="I34" s="48">
        <f t="shared" si="0"/>
        <v>64.599483204134359</v>
      </c>
      <c r="J34" s="26">
        <v>23</v>
      </c>
      <c r="K34" s="48">
        <f t="shared" si="1"/>
        <v>92</v>
      </c>
      <c r="L34" s="3"/>
      <c r="N34" s="226">
        <f t="shared" si="2"/>
        <v>108.69565217391303</v>
      </c>
    </row>
    <row r="35" spans="1:14" ht="17.25" customHeight="1">
      <c r="A35" s="1"/>
      <c r="B35" s="100" t="s">
        <v>11</v>
      </c>
      <c r="C35" s="1" t="s">
        <v>6</v>
      </c>
      <c r="D35" s="25">
        <v>56.13</v>
      </c>
      <c r="E35" s="25">
        <v>47.3</v>
      </c>
      <c r="F35" s="25">
        <v>55</v>
      </c>
      <c r="G35" s="25">
        <v>58</v>
      </c>
      <c r="H35" s="25">
        <v>58</v>
      </c>
      <c r="I35" s="48">
        <f t="shared" si="0"/>
        <v>122.6215644820296</v>
      </c>
      <c r="J35" s="25">
        <v>60</v>
      </c>
      <c r="K35" s="48">
        <f t="shared" si="1"/>
        <v>103.44827586206897</v>
      </c>
      <c r="L35" s="3"/>
      <c r="N35" s="226">
        <f t="shared" si="2"/>
        <v>105.45454545454544</v>
      </c>
    </row>
    <row r="36" spans="1:14" ht="17.25" customHeight="1">
      <c r="A36" s="1"/>
      <c r="B36" s="101" t="s">
        <v>12</v>
      </c>
      <c r="C36" s="1" t="s">
        <v>47</v>
      </c>
      <c r="D36" s="26">
        <f t="shared" ref="D36:J36" si="23">D35*D34/10</f>
        <v>158.39885999999998</v>
      </c>
      <c r="E36" s="26">
        <f t="shared" si="23"/>
        <v>183.05099999999999</v>
      </c>
      <c r="F36" s="26">
        <f t="shared" si="23"/>
        <v>126.5</v>
      </c>
      <c r="G36" s="26">
        <f t="shared" si="23"/>
        <v>145</v>
      </c>
      <c r="H36" s="26">
        <f t="shared" si="23"/>
        <v>145</v>
      </c>
      <c r="I36" s="48">
        <f t="shared" si="0"/>
        <v>79.212896952215516</v>
      </c>
      <c r="J36" s="26">
        <f t="shared" si="23"/>
        <v>138</v>
      </c>
      <c r="K36" s="48">
        <f t="shared" si="1"/>
        <v>95.172413793103445</v>
      </c>
      <c r="L36" s="3"/>
      <c r="N36" s="226">
        <f t="shared" si="2"/>
        <v>114.62450592885376</v>
      </c>
    </row>
    <row r="37" spans="1:14" ht="17.25" customHeight="1">
      <c r="A37" s="1" t="s">
        <v>186</v>
      </c>
      <c r="B37" s="100" t="s">
        <v>209</v>
      </c>
      <c r="C37" s="1" t="s">
        <v>20</v>
      </c>
      <c r="D37" s="26">
        <v>62.7</v>
      </c>
      <c r="E37" s="26">
        <v>62.9</v>
      </c>
      <c r="F37" s="26">
        <v>60</v>
      </c>
      <c r="G37" s="26">
        <v>60.2</v>
      </c>
      <c r="H37" s="26">
        <v>60.2</v>
      </c>
      <c r="I37" s="48">
        <f t="shared" si="0"/>
        <v>95.707472178060414</v>
      </c>
      <c r="J37" s="26">
        <v>60</v>
      </c>
      <c r="K37" s="48">
        <f t="shared" si="1"/>
        <v>99.667774086378742</v>
      </c>
      <c r="L37" s="3"/>
      <c r="N37" s="226">
        <f t="shared" si="2"/>
        <v>100.33333333333334</v>
      </c>
    </row>
    <row r="38" spans="1:14" ht="17.25" customHeight="1">
      <c r="A38" s="1"/>
      <c r="B38" s="100" t="s">
        <v>11</v>
      </c>
      <c r="C38" s="1" t="s">
        <v>6</v>
      </c>
      <c r="D38" s="25">
        <v>44.11</v>
      </c>
      <c r="E38" s="25">
        <v>48</v>
      </c>
      <c r="F38" s="25">
        <v>50</v>
      </c>
      <c r="G38" s="25"/>
      <c r="H38" s="25">
        <v>50</v>
      </c>
      <c r="I38" s="48">
        <f>IFERROR(H38/E38%,"")</f>
        <v>104.16666666666667</v>
      </c>
      <c r="J38" s="25">
        <v>52</v>
      </c>
      <c r="K38" s="48">
        <f t="shared" si="1"/>
        <v>104</v>
      </c>
      <c r="L38" s="3"/>
      <c r="N38" s="226">
        <f t="shared" si="2"/>
        <v>100</v>
      </c>
    </row>
    <row r="39" spans="1:14" ht="17.25" customHeight="1">
      <c r="A39" s="1"/>
      <c r="B39" s="101" t="s">
        <v>12</v>
      </c>
      <c r="C39" s="1" t="s">
        <v>47</v>
      </c>
      <c r="D39" s="26">
        <f>D37*D38/10</f>
        <v>276.56970000000001</v>
      </c>
      <c r="E39" s="26">
        <f t="shared" ref="E39:J39" si="24">E38*E37/10</f>
        <v>301.91999999999996</v>
      </c>
      <c r="F39" s="26">
        <f t="shared" si="24"/>
        <v>300</v>
      </c>
      <c r="G39" s="26">
        <f t="shared" si="24"/>
        <v>0</v>
      </c>
      <c r="H39" s="26">
        <f t="shared" si="24"/>
        <v>301</v>
      </c>
      <c r="I39" s="48">
        <f>IFERROR(H39/E39%,"")</f>
        <v>99.695283518812943</v>
      </c>
      <c r="J39" s="26">
        <f t="shared" si="24"/>
        <v>312</v>
      </c>
      <c r="K39" s="48">
        <f t="shared" si="1"/>
        <v>103.65448504983389</v>
      </c>
      <c r="L39" s="3"/>
      <c r="N39" s="226">
        <f t="shared" si="2"/>
        <v>100.33333333333333</v>
      </c>
    </row>
    <row r="40" spans="1:14" ht="19.5" customHeight="1">
      <c r="A40" s="8">
        <v>2</v>
      </c>
      <c r="B40" s="12" t="s">
        <v>13</v>
      </c>
      <c r="C40" s="1" t="s">
        <v>20</v>
      </c>
      <c r="D40" s="24">
        <v>6199.5</v>
      </c>
      <c r="E40" s="24">
        <v>5720.5</v>
      </c>
      <c r="F40" s="24">
        <v>6000</v>
      </c>
      <c r="G40" s="24">
        <v>5281.3</v>
      </c>
      <c r="H40" s="24">
        <v>5281.3</v>
      </c>
      <c r="I40" s="53">
        <f t="shared" si="0"/>
        <v>92.322349444978585</v>
      </c>
      <c r="J40" s="24">
        <v>5000</v>
      </c>
      <c r="K40" s="53">
        <f t="shared" si="1"/>
        <v>94.673659894344198</v>
      </c>
      <c r="L40" s="3"/>
      <c r="N40" s="226">
        <f t="shared" si="2"/>
        <v>88.021666666666675</v>
      </c>
    </row>
    <row r="41" spans="1:14" ht="19.5" customHeight="1">
      <c r="A41" s="31"/>
      <c r="B41" s="29" t="s">
        <v>11</v>
      </c>
      <c r="C41" s="1" t="s">
        <v>6</v>
      </c>
      <c r="D41" s="25">
        <f>D42/D40*10</f>
        <v>148.34260827486088</v>
      </c>
      <c r="E41" s="25">
        <v>148.51</v>
      </c>
      <c r="F41" s="25">
        <v>145</v>
      </c>
      <c r="G41" s="25"/>
      <c r="H41" s="25">
        <v>148</v>
      </c>
      <c r="I41" s="48">
        <f t="shared" si="0"/>
        <v>99.656588781900211</v>
      </c>
      <c r="J41" s="25">
        <v>150</v>
      </c>
      <c r="K41" s="48">
        <f t="shared" si="1"/>
        <v>101.35135135135135</v>
      </c>
      <c r="L41" s="3"/>
      <c r="N41" s="226">
        <f t="shared" si="2"/>
        <v>102.06896551724138</v>
      </c>
    </row>
    <row r="42" spans="1:14" ht="19.5" customHeight="1">
      <c r="A42" s="31"/>
      <c r="B42" s="29" t="s">
        <v>12</v>
      </c>
      <c r="C42" s="1" t="s">
        <v>47</v>
      </c>
      <c r="D42" s="26">
        <v>91965</v>
      </c>
      <c r="E42" s="26">
        <f>E41*E40/10</f>
        <v>84955.145499999999</v>
      </c>
      <c r="F42" s="26">
        <f>F41*F40/10</f>
        <v>87000</v>
      </c>
      <c r="G42" s="26">
        <f t="shared" ref="G42:H42" si="25">G41*G40/10</f>
        <v>0</v>
      </c>
      <c r="H42" s="26">
        <f t="shared" si="25"/>
        <v>78163.240000000005</v>
      </c>
      <c r="I42" s="48">
        <f t="shared" si="0"/>
        <v>92.005304140171248</v>
      </c>
      <c r="J42" s="26">
        <f>J41*J40/10</f>
        <v>75000</v>
      </c>
      <c r="K42" s="48">
        <f t="shared" si="1"/>
        <v>95.953033676700187</v>
      </c>
      <c r="L42" s="3"/>
      <c r="N42" s="226">
        <f t="shared" si="2"/>
        <v>89.842804597701161</v>
      </c>
    </row>
    <row r="43" spans="1:14" s="15" customFormat="1" ht="19.5" customHeight="1">
      <c r="A43" s="8">
        <v>3</v>
      </c>
      <c r="B43" s="12" t="s">
        <v>114</v>
      </c>
      <c r="C43" s="8" t="s">
        <v>20</v>
      </c>
      <c r="D43" s="24">
        <v>9.1999999999999993</v>
      </c>
      <c r="E43" s="24">
        <v>10.5</v>
      </c>
      <c r="F43" s="24">
        <v>30</v>
      </c>
      <c r="G43" s="24">
        <v>29.1</v>
      </c>
      <c r="H43" s="24">
        <v>29.1</v>
      </c>
      <c r="I43" s="53">
        <f t="shared" si="0"/>
        <v>277.14285714285717</v>
      </c>
      <c r="J43" s="24">
        <v>30</v>
      </c>
      <c r="K43" s="53">
        <f t="shared" si="1"/>
        <v>103.09278350515463</v>
      </c>
      <c r="L43" s="69"/>
      <c r="N43" s="226">
        <f t="shared" si="2"/>
        <v>97.000000000000014</v>
      </c>
    </row>
    <row r="44" spans="1:14" ht="19.5" customHeight="1">
      <c r="A44" s="1"/>
      <c r="B44" s="27" t="s">
        <v>53</v>
      </c>
      <c r="C44" s="1" t="s">
        <v>20</v>
      </c>
      <c r="D44" s="26"/>
      <c r="E44" s="26"/>
      <c r="F44" s="26">
        <v>20</v>
      </c>
      <c r="G44" s="26">
        <v>19.100000000000001</v>
      </c>
      <c r="H44" s="26">
        <v>19.100000000000001</v>
      </c>
      <c r="I44" s="48" t="str">
        <f t="shared" si="0"/>
        <v/>
      </c>
      <c r="J44" s="26"/>
      <c r="K44" s="48">
        <f t="shared" si="1"/>
        <v>0</v>
      </c>
      <c r="L44" s="3"/>
      <c r="N44" s="226">
        <f t="shared" si="2"/>
        <v>95.5</v>
      </c>
    </row>
    <row r="45" spans="1:14" ht="19.5" customHeight="1">
      <c r="A45" s="31"/>
      <c r="B45" s="29" t="s">
        <v>11</v>
      </c>
      <c r="C45" s="1" t="s">
        <v>6</v>
      </c>
      <c r="D45" s="25"/>
      <c r="E45" s="25">
        <v>600</v>
      </c>
      <c r="F45" s="25">
        <v>733.3</v>
      </c>
      <c r="G45" s="25"/>
      <c r="H45" s="25">
        <v>733.3</v>
      </c>
      <c r="I45" s="48">
        <f t="shared" si="0"/>
        <v>122.21666666666665</v>
      </c>
      <c r="J45" s="25">
        <v>735</v>
      </c>
      <c r="K45" s="48">
        <f t="shared" si="1"/>
        <v>100.23182871948725</v>
      </c>
      <c r="L45" s="3"/>
      <c r="N45" s="226">
        <f t="shared" si="2"/>
        <v>100</v>
      </c>
    </row>
    <row r="46" spans="1:14" ht="19.5" customHeight="1">
      <c r="A46" s="31"/>
      <c r="B46" s="29" t="s">
        <v>12</v>
      </c>
      <c r="C46" s="1" t="s">
        <v>47</v>
      </c>
      <c r="D46" s="26">
        <f>D45*D43/10</f>
        <v>0</v>
      </c>
      <c r="E46" s="26">
        <f>E45*E43/10</f>
        <v>630</v>
      </c>
      <c r="F46" s="26">
        <f>F45*F43/10</f>
        <v>2199.9</v>
      </c>
      <c r="G46" s="26">
        <f t="shared" ref="G46:H46" si="26">G45*G43/10</f>
        <v>0</v>
      </c>
      <c r="H46" s="26">
        <f t="shared" si="26"/>
        <v>2133.9029999999998</v>
      </c>
      <c r="I46" s="48">
        <f t="shared" si="0"/>
        <v>338.71476190476187</v>
      </c>
      <c r="J46" s="26">
        <f>J45*J43/10</f>
        <v>2205</v>
      </c>
      <c r="K46" s="48">
        <f t="shared" si="1"/>
        <v>103.33178218503842</v>
      </c>
      <c r="L46" s="3"/>
      <c r="N46" s="226">
        <f t="shared" si="2"/>
        <v>96.999999999999986</v>
      </c>
    </row>
    <row r="47" spans="1:14" ht="19.5" customHeight="1">
      <c r="A47" s="8">
        <v>4</v>
      </c>
      <c r="B47" s="12" t="s">
        <v>60</v>
      </c>
      <c r="C47" s="1" t="s">
        <v>20</v>
      </c>
      <c r="D47" s="24">
        <f>D50+D53</f>
        <v>219.3</v>
      </c>
      <c r="E47" s="24">
        <f>E50+E53</f>
        <v>259</v>
      </c>
      <c r="F47" s="24">
        <f>F50+F53</f>
        <v>230</v>
      </c>
      <c r="G47" s="24">
        <f t="shared" ref="G47:H47" si="27">G50+G53</f>
        <v>201.8</v>
      </c>
      <c r="H47" s="24">
        <f t="shared" si="27"/>
        <v>225.8</v>
      </c>
      <c r="I47" s="53">
        <f t="shared" si="0"/>
        <v>87.181467181467184</v>
      </c>
      <c r="J47" s="24">
        <f>J50+J53</f>
        <v>230</v>
      </c>
      <c r="K47" s="53">
        <f t="shared" si="1"/>
        <v>101.86005314437556</v>
      </c>
      <c r="L47" s="3"/>
      <c r="N47" s="226">
        <f t="shared" si="2"/>
        <v>98.173913043478279</v>
      </c>
    </row>
    <row r="48" spans="1:14" ht="19.5" customHeight="1">
      <c r="A48" s="31"/>
      <c r="B48" s="29" t="s">
        <v>11</v>
      </c>
      <c r="C48" s="1" t="s">
        <v>6</v>
      </c>
      <c r="D48" s="25">
        <f t="shared" ref="D48:J48" si="28">D49/D47*10</f>
        <v>119.96580027359781</v>
      </c>
      <c r="E48" s="25">
        <f t="shared" si="28"/>
        <v>134.57142857142858</v>
      </c>
      <c r="F48" s="25">
        <f t="shared" si="28"/>
        <v>136.63173913043477</v>
      </c>
      <c r="G48" s="25">
        <f t="shared" si="28"/>
        <v>88.893954410307217</v>
      </c>
      <c r="H48" s="25">
        <f t="shared" si="28"/>
        <v>136.83613817537642</v>
      </c>
      <c r="I48" s="48">
        <f t="shared" si="0"/>
        <v>101.68290522586356</v>
      </c>
      <c r="J48" s="25">
        <f t="shared" si="28"/>
        <v>137.11304347826086</v>
      </c>
      <c r="K48" s="48">
        <f t="shared" si="1"/>
        <v>100.20236269934011</v>
      </c>
      <c r="L48" s="3"/>
      <c r="N48" s="226">
        <f t="shared" si="2"/>
        <v>100.14959850927941</v>
      </c>
    </row>
    <row r="49" spans="1:14" ht="19.5" customHeight="1">
      <c r="A49" s="31"/>
      <c r="B49" s="29" t="s">
        <v>12</v>
      </c>
      <c r="C49" s="1" t="s">
        <v>47</v>
      </c>
      <c r="D49" s="26">
        <f>D52+D55</f>
        <v>2630.85</v>
      </c>
      <c r="E49" s="26">
        <f>E52+E55</f>
        <v>3485.4</v>
      </c>
      <c r="F49" s="26">
        <f>F52+F55</f>
        <v>3142.5299999999997</v>
      </c>
      <c r="G49" s="26">
        <f t="shared" ref="G49:H49" si="29">G52+G55</f>
        <v>1793.8799999999999</v>
      </c>
      <c r="H49" s="26">
        <f t="shared" si="29"/>
        <v>3089.7599999999998</v>
      </c>
      <c r="I49" s="48">
        <f t="shared" si="0"/>
        <v>88.648648648648646</v>
      </c>
      <c r="J49" s="26">
        <f>J52+J55</f>
        <v>3153.6</v>
      </c>
      <c r="K49" s="48">
        <f t="shared" si="1"/>
        <v>102.06617989746778</v>
      </c>
      <c r="L49" s="3"/>
      <c r="N49" s="226">
        <f t="shared" si="2"/>
        <v>98.320779753892566</v>
      </c>
    </row>
    <row r="50" spans="1:14" ht="19.5" customHeight="1">
      <c r="A50" s="1"/>
      <c r="B50" s="118" t="s">
        <v>210</v>
      </c>
      <c r="C50" s="18" t="s">
        <v>20</v>
      </c>
      <c r="D50" s="19">
        <v>97.3</v>
      </c>
      <c r="E50" s="19">
        <v>137</v>
      </c>
      <c r="F50" s="19">
        <v>123</v>
      </c>
      <c r="G50" s="19">
        <v>118.8</v>
      </c>
      <c r="H50" s="19">
        <v>118.8</v>
      </c>
      <c r="I50" s="48">
        <f t="shared" si="0"/>
        <v>86.71532846715327</v>
      </c>
      <c r="J50" s="19">
        <v>123</v>
      </c>
      <c r="K50" s="48">
        <f t="shared" si="1"/>
        <v>103.53535353535354</v>
      </c>
      <c r="L50" s="3"/>
      <c r="N50" s="226">
        <f t="shared" si="2"/>
        <v>96.58536585365853</v>
      </c>
    </row>
    <row r="51" spans="1:14" ht="19.5" customHeight="1">
      <c r="A51" s="1"/>
      <c r="B51" s="118" t="s">
        <v>11</v>
      </c>
      <c r="C51" s="18" t="s">
        <v>6</v>
      </c>
      <c r="D51" s="30">
        <v>145</v>
      </c>
      <c r="E51" s="30">
        <v>152</v>
      </c>
      <c r="F51" s="30">
        <v>151.1</v>
      </c>
      <c r="G51" s="30">
        <v>151</v>
      </c>
      <c r="H51" s="30">
        <v>152</v>
      </c>
      <c r="I51" s="48">
        <f t="shared" si="0"/>
        <v>100</v>
      </c>
      <c r="J51" s="30">
        <v>152</v>
      </c>
      <c r="K51" s="48">
        <f t="shared" si="1"/>
        <v>100</v>
      </c>
      <c r="L51" s="3"/>
      <c r="N51" s="226">
        <f t="shared" si="2"/>
        <v>100.59563203176705</v>
      </c>
    </row>
    <row r="52" spans="1:14" ht="19.5" customHeight="1">
      <c r="A52" s="1"/>
      <c r="B52" s="118" t="s">
        <v>12</v>
      </c>
      <c r="C52" s="18" t="s">
        <v>47</v>
      </c>
      <c r="D52" s="19">
        <f t="shared" ref="D52:J52" si="30">D51*D50/10</f>
        <v>1410.85</v>
      </c>
      <c r="E52" s="19">
        <f t="shared" si="30"/>
        <v>2082.4</v>
      </c>
      <c r="F52" s="19">
        <f t="shared" si="30"/>
        <v>1858.53</v>
      </c>
      <c r="G52" s="19">
        <f t="shared" si="30"/>
        <v>1793.8799999999999</v>
      </c>
      <c r="H52" s="19">
        <f t="shared" si="30"/>
        <v>1805.7599999999998</v>
      </c>
      <c r="I52" s="48">
        <f t="shared" si="0"/>
        <v>86.71532846715327</v>
      </c>
      <c r="J52" s="19">
        <f t="shared" si="30"/>
        <v>1869.6</v>
      </c>
      <c r="K52" s="48">
        <f t="shared" si="1"/>
        <v>103.53535353535355</v>
      </c>
      <c r="L52" s="3"/>
      <c r="N52" s="226">
        <f t="shared" si="2"/>
        <v>97.160659230682299</v>
      </c>
    </row>
    <row r="53" spans="1:14" ht="19.5" customHeight="1">
      <c r="A53" s="1"/>
      <c r="B53" s="118" t="s">
        <v>211</v>
      </c>
      <c r="C53" s="18" t="s">
        <v>20</v>
      </c>
      <c r="D53" s="19">
        <v>122</v>
      </c>
      <c r="E53" s="19">
        <v>122</v>
      </c>
      <c r="F53" s="19">
        <v>107</v>
      </c>
      <c r="G53" s="19">
        <v>83</v>
      </c>
      <c r="H53" s="19">
        <v>107</v>
      </c>
      <c r="I53" s="48">
        <f t="shared" si="0"/>
        <v>87.704918032786892</v>
      </c>
      <c r="J53" s="19">
        <v>107</v>
      </c>
      <c r="K53" s="48">
        <f t="shared" si="1"/>
        <v>100</v>
      </c>
      <c r="L53" s="3"/>
      <c r="N53" s="226">
        <f t="shared" si="2"/>
        <v>100</v>
      </c>
    </row>
    <row r="54" spans="1:14" ht="19.5" customHeight="1">
      <c r="A54" s="1"/>
      <c r="B54" s="118" t="s">
        <v>11</v>
      </c>
      <c r="C54" s="18" t="s">
        <v>6</v>
      </c>
      <c r="D54" s="30">
        <v>100</v>
      </c>
      <c r="E54" s="30">
        <v>115</v>
      </c>
      <c r="F54" s="30">
        <v>120</v>
      </c>
      <c r="G54" s="30"/>
      <c r="H54" s="30">
        <v>120</v>
      </c>
      <c r="I54" s="48">
        <f t="shared" si="0"/>
        <v>104.34782608695653</v>
      </c>
      <c r="J54" s="30">
        <v>120</v>
      </c>
      <c r="K54" s="48">
        <f t="shared" si="1"/>
        <v>100</v>
      </c>
      <c r="L54" s="3"/>
      <c r="N54" s="226">
        <f t="shared" si="2"/>
        <v>100</v>
      </c>
    </row>
    <row r="55" spans="1:14" ht="19.5" customHeight="1">
      <c r="A55" s="1"/>
      <c r="B55" s="118" t="s">
        <v>12</v>
      </c>
      <c r="C55" s="18" t="s">
        <v>47</v>
      </c>
      <c r="D55" s="19">
        <f t="shared" ref="D55:J55" si="31">D54*D53/10</f>
        <v>1220</v>
      </c>
      <c r="E55" s="19">
        <f t="shared" si="31"/>
        <v>1403</v>
      </c>
      <c r="F55" s="19">
        <f t="shared" si="31"/>
        <v>1284</v>
      </c>
      <c r="G55" s="19">
        <f t="shared" si="31"/>
        <v>0</v>
      </c>
      <c r="H55" s="19">
        <f t="shared" si="31"/>
        <v>1284</v>
      </c>
      <c r="I55" s="48">
        <f t="shared" si="0"/>
        <v>91.518175338560226</v>
      </c>
      <c r="J55" s="19">
        <f t="shared" si="31"/>
        <v>1284</v>
      </c>
      <c r="K55" s="48">
        <f t="shared" si="1"/>
        <v>100</v>
      </c>
      <c r="L55" s="3"/>
      <c r="N55" s="226">
        <f t="shared" si="2"/>
        <v>100</v>
      </c>
    </row>
    <row r="56" spans="1:14" s="15" customFormat="1" ht="31.2">
      <c r="A56" s="8">
        <v>5</v>
      </c>
      <c r="B56" s="12" t="s">
        <v>179</v>
      </c>
      <c r="C56" s="8" t="s">
        <v>20</v>
      </c>
      <c r="D56" s="28">
        <f t="shared" ref="D56:J56" si="32">SUM(D57:D59)</f>
        <v>7.5</v>
      </c>
      <c r="E56" s="28">
        <f t="shared" si="32"/>
        <v>31.2</v>
      </c>
      <c r="F56" s="28">
        <f t="shared" si="32"/>
        <v>32</v>
      </c>
      <c r="G56" s="28">
        <f t="shared" si="32"/>
        <v>32</v>
      </c>
      <c r="H56" s="28">
        <f t="shared" si="32"/>
        <v>32</v>
      </c>
      <c r="I56" s="53">
        <f t="shared" si="0"/>
        <v>102.56410256410257</v>
      </c>
      <c r="J56" s="28">
        <f t="shared" si="32"/>
        <v>32</v>
      </c>
      <c r="K56" s="53">
        <f t="shared" si="1"/>
        <v>100</v>
      </c>
      <c r="L56" s="69"/>
      <c r="N56" s="226">
        <f t="shared" si="2"/>
        <v>100</v>
      </c>
    </row>
    <row r="57" spans="1:14" ht="19.5" hidden="1" customHeight="1" outlineLevel="1">
      <c r="A57" s="1"/>
      <c r="B57" s="17" t="s">
        <v>170</v>
      </c>
      <c r="C57" s="1" t="s">
        <v>20</v>
      </c>
      <c r="D57" s="25">
        <v>3.7</v>
      </c>
      <c r="E57" s="25">
        <v>4</v>
      </c>
      <c r="F57" s="25">
        <v>4</v>
      </c>
      <c r="G57" s="25">
        <f>F57</f>
        <v>4</v>
      </c>
      <c r="H57" s="25">
        <f>G57</f>
        <v>4</v>
      </c>
      <c r="I57" s="48">
        <f t="shared" si="0"/>
        <v>100</v>
      </c>
      <c r="J57" s="25">
        <f>H57</f>
        <v>4</v>
      </c>
      <c r="K57" s="48">
        <f t="shared" si="1"/>
        <v>100</v>
      </c>
      <c r="L57" s="3"/>
      <c r="N57" s="226">
        <f t="shared" si="2"/>
        <v>100</v>
      </c>
    </row>
    <row r="58" spans="1:14" ht="19.5" hidden="1" customHeight="1" outlineLevel="1">
      <c r="A58" s="1"/>
      <c r="B58" s="17" t="s">
        <v>171</v>
      </c>
      <c r="C58" s="1" t="s">
        <v>20</v>
      </c>
      <c r="D58" s="25">
        <v>3.8</v>
      </c>
      <c r="E58" s="25">
        <v>4</v>
      </c>
      <c r="F58" s="25">
        <v>4</v>
      </c>
      <c r="G58" s="25">
        <f t="shared" ref="G58:H59" si="33">F58</f>
        <v>4</v>
      </c>
      <c r="H58" s="25">
        <f t="shared" si="33"/>
        <v>4</v>
      </c>
      <c r="I58" s="48">
        <f t="shared" si="0"/>
        <v>100</v>
      </c>
      <c r="J58" s="25">
        <f t="shared" ref="J58:J59" si="34">H58</f>
        <v>4</v>
      </c>
      <c r="K58" s="48">
        <f t="shared" si="1"/>
        <v>100</v>
      </c>
      <c r="L58" s="3"/>
      <c r="N58" s="226">
        <f t="shared" si="2"/>
        <v>100</v>
      </c>
    </row>
    <row r="59" spans="1:14" ht="19.5" hidden="1" customHeight="1" outlineLevel="1">
      <c r="A59" s="1"/>
      <c r="B59" s="17" t="s">
        <v>172</v>
      </c>
      <c r="C59" s="1" t="s">
        <v>20</v>
      </c>
      <c r="D59" s="25"/>
      <c r="E59" s="25">
        <v>23.2</v>
      </c>
      <c r="F59" s="25">
        <v>24</v>
      </c>
      <c r="G59" s="25">
        <f t="shared" si="33"/>
        <v>24</v>
      </c>
      <c r="H59" s="25">
        <f t="shared" si="33"/>
        <v>24</v>
      </c>
      <c r="I59" s="48">
        <f t="shared" si="0"/>
        <v>103.44827586206897</v>
      </c>
      <c r="J59" s="25">
        <f t="shared" si="34"/>
        <v>24</v>
      </c>
      <c r="K59" s="48">
        <f t="shared" si="1"/>
        <v>100</v>
      </c>
      <c r="L59" s="3"/>
      <c r="N59" s="226">
        <f t="shared" si="2"/>
        <v>100</v>
      </c>
    </row>
    <row r="60" spans="1:14" ht="17.25" customHeight="1" collapsed="1">
      <c r="A60" s="21" t="s">
        <v>22</v>
      </c>
      <c r="B60" s="12" t="s">
        <v>52</v>
      </c>
      <c r="C60" s="8" t="s">
        <v>20</v>
      </c>
      <c r="D60" s="24">
        <f t="shared" ref="D60:J60" si="35">D61+D74+D75</f>
        <v>9814</v>
      </c>
      <c r="E60" s="24">
        <f t="shared" si="35"/>
        <v>10071.6</v>
      </c>
      <c r="F60" s="24">
        <f t="shared" si="35"/>
        <v>10122.1</v>
      </c>
      <c r="G60" s="24">
        <f t="shared" si="35"/>
        <v>10368</v>
      </c>
      <c r="H60" s="24">
        <f>H61+H74+H75</f>
        <v>10379.6</v>
      </c>
      <c r="I60" s="53">
        <f t="shared" si="0"/>
        <v>103.05810397553516</v>
      </c>
      <c r="J60" s="24">
        <f t="shared" si="35"/>
        <v>10429.6</v>
      </c>
      <c r="K60" s="53">
        <f t="shared" si="1"/>
        <v>100.48171413156577</v>
      </c>
      <c r="L60" s="3"/>
      <c r="N60" s="226">
        <f t="shared" si="2"/>
        <v>102.54393851078333</v>
      </c>
    </row>
    <row r="61" spans="1:14" s="15" customFormat="1" ht="17.25" customHeight="1">
      <c r="A61" s="21">
        <v>1</v>
      </c>
      <c r="B61" s="20" t="s">
        <v>199</v>
      </c>
      <c r="C61" s="8" t="s">
        <v>20</v>
      </c>
      <c r="D61" s="24">
        <f t="shared" ref="D61:J61" si="36">D62+D68</f>
        <v>9537.2999999999993</v>
      </c>
      <c r="E61" s="24">
        <f t="shared" si="36"/>
        <v>9722.1</v>
      </c>
      <c r="F61" s="24">
        <f t="shared" si="36"/>
        <v>9772.1</v>
      </c>
      <c r="G61" s="24">
        <f t="shared" si="36"/>
        <v>10018</v>
      </c>
      <c r="H61" s="24">
        <f t="shared" si="36"/>
        <v>10029.6</v>
      </c>
      <c r="I61" s="53">
        <f t="shared" si="0"/>
        <v>103.16289690498967</v>
      </c>
      <c r="J61" s="24">
        <f t="shared" si="36"/>
        <v>10079.6</v>
      </c>
      <c r="K61" s="53">
        <f t="shared" si="1"/>
        <v>100.4985243678711</v>
      </c>
      <c r="L61" s="69"/>
      <c r="N61" s="226">
        <f t="shared" si="2"/>
        <v>102.63505285455531</v>
      </c>
    </row>
    <row r="62" spans="1:14" s="15" customFormat="1" ht="17.25" customHeight="1">
      <c r="A62" s="8" t="s">
        <v>17</v>
      </c>
      <c r="B62" s="12" t="s">
        <v>196</v>
      </c>
      <c r="C62" s="8" t="s">
        <v>20</v>
      </c>
      <c r="D62" s="13">
        <v>1743.8</v>
      </c>
      <c r="E62" s="13">
        <f>D62+E63</f>
        <v>1919.5</v>
      </c>
      <c r="F62" s="13">
        <f>E62+F63-F64</f>
        <v>1969.5</v>
      </c>
      <c r="G62" s="13">
        <f>E62+G63-G64</f>
        <v>2292.9</v>
      </c>
      <c r="H62" s="13">
        <f>E62+H63-H64</f>
        <v>2299.5</v>
      </c>
      <c r="I62" s="53">
        <f t="shared" si="0"/>
        <v>119.79682208908569</v>
      </c>
      <c r="J62" s="13">
        <f>H62+J63</f>
        <v>2349.5</v>
      </c>
      <c r="K62" s="53">
        <f t="shared" si="1"/>
        <v>102.17438573602956</v>
      </c>
      <c r="L62" s="69"/>
      <c r="N62" s="226">
        <f t="shared" si="2"/>
        <v>116.75552170601675</v>
      </c>
    </row>
    <row r="63" spans="1:14" ht="17.25" customHeight="1">
      <c r="A63" s="1"/>
      <c r="B63" s="17" t="s">
        <v>53</v>
      </c>
      <c r="C63" s="1" t="s">
        <v>20</v>
      </c>
      <c r="D63" s="30">
        <v>185.9</v>
      </c>
      <c r="E63" s="30">
        <v>175.7</v>
      </c>
      <c r="F63" s="30">
        <v>50</v>
      </c>
      <c r="G63" s="30">
        <v>374.4</v>
      </c>
      <c r="H63" s="30">
        <v>381</v>
      </c>
      <c r="I63" s="48">
        <f t="shared" si="0"/>
        <v>216.84689812179855</v>
      </c>
      <c r="J63" s="30">
        <v>50</v>
      </c>
      <c r="K63" s="48">
        <f t="shared" si="1"/>
        <v>13.123359580052494</v>
      </c>
      <c r="L63" s="3"/>
      <c r="N63" s="226">
        <f t="shared" si="2"/>
        <v>762</v>
      </c>
    </row>
    <row r="64" spans="1:14" ht="17.25" customHeight="1">
      <c r="A64" s="1"/>
      <c r="B64" s="17" t="s">
        <v>116</v>
      </c>
      <c r="C64" s="1" t="s">
        <v>20</v>
      </c>
      <c r="D64" s="30"/>
      <c r="E64" s="30"/>
      <c r="F64" s="30"/>
      <c r="G64" s="30">
        <v>1</v>
      </c>
      <c r="H64" s="30">
        <v>1</v>
      </c>
      <c r="I64" s="48"/>
      <c r="J64" s="30"/>
      <c r="K64" s="48"/>
      <c r="L64" s="3"/>
      <c r="N64" s="226"/>
    </row>
    <row r="65" spans="1:14" ht="17.25" customHeight="1">
      <c r="A65" s="1"/>
      <c r="B65" s="17" t="s">
        <v>54</v>
      </c>
      <c r="C65" s="1" t="s">
        <v>20</v>
      </c>
      <c r="D65" s="19">
        <v>1246</v>
      </c>
      <c r="E65" s="19">
        <v>1384</v>
      </c>
      <c r="F65" s="19">
        <v>1559</v>
      </c>
      <c r="G65" s="19">
        <v>1558</v>
      </c>
      <c r="H65" s="19">
        <v>1558</v>
      </c>
      <c r="I65" s="48">
        <f t="shared" si="0"/>
        <v>112.57225433526011</v>
      </c>
      <c r="J65" s="19">
        <v>1745</v>
      </c>
      <c r="K65" s="48">
        <f t="shared" si="1"/>
        <v>112.002567394095</v>
      </c>
      <c r="L65" s="3"/>
      <c r="M65" s="67"/>
      <c r="N65" s="226">
        <f t="shared" si="2"/>
        <v>99.935856318152659</v>
      </c>
    </row>
    <row r="66" spans="1:14" ht="17.25" customHeight="1">
      <c r="A66" s="1"/>
      <c r="B66" s="17" t="s">
        <v>55</v>
      </c>
      <c r="C66" s="1" t="s">
        <v>6</v>
      </c>
      <c r="D66" s="30">
        <v>31.73</v>
      </c>
      <c r="E66" s="30">
        <v>35.65</v>
      </c>
      <c r="F66" s="30">
        <v>35</v>
      </c>
      <c r="G66" s="30"/>
      <c r="H66" s="30">
        <v>35</v>
      </c>
      <c r="I66" s="48">
        <f t="shared" si="0"/>
        <v>98.176718092566631</v>
      </c>
      <c r="J66" s="30">
        <v>35</v>
      </c>
      <c r="K66" s="48">
        <f t="shared" si="1"/>
        <v>100</v>
      </c>
      <c r="L66" s="3"/>
      <c r="N66" s="226">
        <f t="shared" si="2"/>
        <v>100</v>
      </c>
    </row>
    <row r="67" spans="1:14" ht="17.25" customHeight="1">
      <c r="A67" s="1"/>
      <c r="B67" s="17" t="s">
        <v>115</v>
      </c>
      <c r="C67" s="1" t="s">
        <v>47</v>
      </c>
      <c r="D67" s="19">
        <f>D65*D66/10</f>
        <v>3953.558</v>
      </c>
      <c r="E67" s="19">
        <f>E65*E66/10</f>
        <v>4933.96</v>
      </c>
      <c r="F67" s="19">
        <f>F65*F66/10</f>
        <v>5456.5</v>
      </c>
      <c r="G67" s="19">
        <f t="shared" ref="G67:H67" si="37">G65*G66/10</f>
        <v>0</v>
      </c>
      <c r="H67" s="19">
        <f t="shared" si="37"/>
        <v>5453</v>
      </c>
      <c r="I67" s="48">
        <f t="shared" ref="I67:I130" si="38">IFERROR(H67/E67%,"")</f>
        <v>110.51974478917543</v>
      </c>
      <c r="J67" s="19">
        <f>J65*J66/10</f>
        <v>6107.5</v>
      </c>
      <c r="K67" s="48">
        <f t="shared" ref="K67:K130" si="39">IFERROR(J67/H67%,"")</f>
        <v>112.002567394095</v>
      </c>
      <c r="L67" s="3"/>
      <c r="N67" s="226">
        <f t="shared" si="2"/>
        <v>99.935856318152659</v>
      </c>
    </row>
    <row r="68" spans="1:14" s="15" customFormat="1" ht="17.25" customHeight="1">
      <c r="A68" s="8" t="s">
        <v>18</v>
      </c>
      <c r="B68" s="12" t="s">
        <v>197</v>
      </c>
      <c r="C68" s="8" t="s">
        <v>20</v>
      </c>
      <c r="D68" s="13">
        <v>7793.5</v>
      </c>
      <c r="E68" s="13">
        <f>D68+E69-E70</f>
        <v>7802.6</v>
      </c>
      <c r="F68" s="13">
        <f>E68+F69-F70</f>
        <v>7802.6</v>
      </c>
      <c r="G68" s="13">
        <f>E68+G69-G70</f>
        <v>7725.1</v>
      </c>
      <c r="H68" s="13">
        <f>E68+H69-H70</f>
        <v>7730.1</v>
      </c>
      <c r="I68" s="53">
        <f t="shared" si="38"/>
        <v>99.070822546330703</v>
      </c>
      <c r="J68" s="13">
        <f>H68+J69-J70</f>
        <v>7730.1</v>
      </c>
      <c r="K68" s="53">
        <f t="shared" si="39"/>
        <v>100</v>
      </c>
      <c r="L68" s="69"/>
      <c r="N68" s="226">
        <f t="shared" si="2"/>
        <v>99.070822546330703</v>
      </c>
    </row>
    <row r="69" spans="1:14" ht="17.25" customHeight="1">
      <c r="A69" s="1"/>
      <c r="B69" s="17" t="s">
        <v>53</v>
      </c>
      <c r="C69" s="1" t="s">
        <v>20</v>
      </c>
      <c r="D69" s="35">
        <v>0</v>
      </c>
      <c r="E69" s="25">
        <v>24.6</v>
      </c>
      <c r="F69" s="35"/>
      <c r="G69" s="35">
        <v>33.299999999999997</v>
      </c>
      <c r="H69" s="35">
        <v>38.299999999999997</v>
      </c>
      <c r="I69" s="48">
        <f t="shared" si="38"/>
        <v>155.69105691056907</v>
      </c>
      <c r="J69" s="35"/>
      <c r="K69" s="48">
        <f t="shared" si="39"/>
        <v>0</v>
      </c>
      <c r="L69" s="3"/>
      <c r="N69" s="226" t="str">
        <f t="shared" ref="N69:N132" si="40">IFERROR(H69/F69%,"")</f>
        <v/>
      </c>
    </row>
    <row r="70" spans="1:14" ht="17.25" customHeight="1">
      <c r="A70" s="1"/>
      <c r="B70" s="17" t="s">
        <v>116</v>
      </c>
      <c r="C70" s="1" t="s">
        <v>20</v>
      </c>
      <c r="D70" s="25">
        <v>81.5</v>
      </c>
      <c r="E70" s="25">
        <v>15.5</v>
      </c>
      <c r="F70" s="35"/>
      <c r="G70" s="35">
        <v>110.8</v>
      </c>
      <c r="H70" s="35">
        <v>110.8</v>
      </c>
      <c r="I70" s="48">
        <f t="shared" si="38"/>
        <v>714.83870967741939</v>
      </c>
      <c r="J70" s="35"/>
      <c r="K70" s="48">
        <f t="shared" si="39"/>
        <v>0</v>
      </c>
      <c r="L70" s="3"/>
      <c r="N70" s="226" t="str">
        <f t="shared" si="40"/>
        <v/>
      </c>
    </row>
    <row r="71" spans="1:14" ht="17.25" customHeight="1">
      <c r="A71" s="1"/>
      <c r="B71" s="17" t="s">
        <v>54</v>
      </c>
      <c r="C71" s="1" t="s">
        <v>20</v>
      </c>
      <c r="D71" s="19">
        <v>4821</v>
      </c>
      <c r="E71" s="19">
        <v>5385</v>
      </c>
      <c r="F71" s="19">
        <v>5755</v>
      </c>
      <c r="G71" s="19">
        <v>5723.7</v>
      </c>
      <c r="H71" s="19">
        <v>5723.7</v>
      </c>
      <c r="I71" s="48">
        <f t="shared" si="38"/>
        <v>106.28969359331475</v>
      </c>
      <c r="J71" s="19">
        <v>6190</v>
      </c>
      <c r="K71" s="48">
        <f t="shared" si="39"/>
        <v>108.1468281007041</v>
      </c>
      <c r="L71" s="3"/>
      <c r="N71" s="226">
        <f t="shared" si="40"/>
        <v>99.456125108601213</v>
      </c>
    </row>
    <row r="72" spans="1:14" ht="17.25" customHeight="1">
      <c r="A72" s="1"/>
      <c r="B72" s="17" t="s">
        <v>56</v>
      </c>
      <c r="C72" s="1" t="s">
        <v>6</v>
      </c>
      <c r="D72" s="30">
        <v>12.33</v>
      </c>
      <c r="E72" s="30">
        <v>12.35</v>
      </c>
      <c r="F72" s="30">
        <v>12.5</v>
      </c>
      <c r="G72" s="30">
        <v>12.5</v>
      </c>
      <c r="H72" s="30">
        <v>12.5</v>
      </c>
      <c r="I72" s="48">
        <f t="shared" si="38"/>
        <v>101.21457489878543</v>
      </c>
      <c r="J72" s="30">
        <v>12.5</v>
      </c>
      <c r="K72" s="48">
        <f t="shared" si="39"/>
        <v>100</v>
      </c>
      <c r="L72" s="3"/>
      <c r="N72" s="226">
        <f t="shared" si="40"/>
        <v>100</v>
      </c>
    </row>
    <row r="73" spans="1:14" ht="17.25" customHeight="1">
      <c r="A73" s="1"/>
      <c r="B73" s="17" t="s">
        <v>225</v>
      </c>
      <c r="C73" s="1" t="s">
        <v>47</v>
      </c>
      <c r="D73" s="19">
        <f>D71*D72/10</f>
        <v>5944.2929999999997</v>
      </c>
      <c r="E73" s="19">
        <f>E71*E72/10</f>
        <v>6650.4750000000004</v>
      </c>
      <c r="F73" s="19">
        <f>F71*F72/10</f>
        <v>7193.75</v>
      </c>
      <c r="G73" s="19">
        <f t="shared" ref="G73:H73" si="41">G71*G72/10</f>
        <v>7154.625</v>
      </c>
      <c r="H73" s="19">
        <f t="shared" si="41"/>
        <v>7154.625</v>
      </c>
      <c r="I73" s="48">
        <f t="shared" si="38"/>
        <v>107.5806615316951</v>
      </c>
      <c r="J73" s="19">
        <f>J71*J72/10</f>
        <v>7737.5</v>
      </c>
      <c r="K73" s="48">
        <f t="shared" si="39"/>
        <v>108.14682810070408</v>
      </c>
      <c r="L73" s="3"/>
      <c r="N73" s="226">
        <f t="shared" si="40"/>
        <v>99.456125108601213</v>
      </c>
    </row>
    <row r="74" spans="1:14" s="15" customFormat="1" ht="17.25" customHeight="1">
      <c r="A74" s="8">
        <v>2</v>
      </c>
      <c r="B74" s="12" t="s">
        <v>78</v>
      </c>
      <c r="C74" s="8" t="s">
        <v>20</v>
      </c>
      <c r="D74" s="13">
        <v>155.19999999999999</v>
      </c>
      <c r="E74" s="13">
        <v>218.9</v>
      </c>
      <c r="F74" s="13">
        <v>220</v>
      </c>
      <c r="G74" s="13">
        <v>220</v>
      </c>
      <c r="H74" s="13">
        <v>220</v>
      </c>
      <c r="I74" s="53">
        <f t="shared" si="38"/>
        <v>100.50251256281406</v>
      </c>
      <c r="J74" s="13">
        <v>220</v>
      </c>
      <c r="K74" s="53">
        <f t="shared" si="39"/>
        <v>99.999999999999986</v>
      </c>
      <c r="L74" s="69"/>
      <c r="N74" s="226">
        <f t="shared" si="40"/>
        <v>99.999999999999986</v>
      </c>
    </row>
    <row r="75" spans="1:14" s="15" customFormat="1" ht="31.2">
      <c r="A75" s="8">
        <v>3</v>
      </c>
      <c r="B75" s="12" t="s">
        <v>178</v>
      </c>
      <c r="C75" s="8" t="s">
        <v>20</v>
      </c>
      <c r="D75" s="13">
        <f t="shared" ref="D75:J75" si="42">SUM(D76:D80)</f>
        <v>121.5</v>
      </c>
      <c r="E75" s="13">
        <f t="shared" si="42"/>
        <v>130.60000000000002</v>
      </c>
      <c r="F75" s="13">
        <f t="shared" si="42"/>
        <v>130</v>
      </c>
      <c r="G75" s="13">
        <f t="shared" si="42"/>
        <v>130</v>
      </c>
      <c r="H75" s="13">
        <f t="shared" si="42"/>
        <v>130</v>
      </c>
      <c r="I75" s="53">
        <f t="shared" si="38"/>
        <v>99.54058192955587</v>
      </c>
      <c r="J75" s="13">
        <f t="shared" si="42"/>
        <v>130</v>
      </c>
      <c r="K75" s="53">
        <f t="shared" si="39"/>
        <v>100</v>
      </c>
      <c r="L75" s="69"/>
      <c r="M75" s="73"/>
      <c r="N75" s="226">
        <f t="shared" si="40"/>
        <v>100</v>
      </c>
    </row>
    <row r="76" spans="1:14" ht="17.25" hidden="1" customHeight="1" outlineLevel="1">
      <c r="A76" s="1"/>
      <c r="B76" s="17" t="s">
        <v>173</v>
      </c>
      <c r="C76" s="1" t="s">
        <v>20</v>
      </c>
      <c r="D76" s="30">
        <v>18.5</v>
      </c>
      <c r="E76" s="30">
        <v>17</v>
      </c>
      <c r="F76" s="30">
        <v>17</v>
      </c>
      <c r="G76" s="30">
        <f>F76</f>
        <v>17</v>
      </c>
      <c r="H76" s="30">
        <f>G76</f>
        <v>17</v>
      </c>
      <c r="I76" s="48">
        <f t="shared" si="38"/>
        <v>99.999999999999986</v>
      </c>
      <c r="J76" s="30">
        <f>H76</f>
        <v>17</v>
      </c>
      <c r="K76" s="48">
        <f t="shared" si="39"/>
        <v>99.999999999999986</v>
      </c>
      <c r="L76" s="3"/>
      <c r="N76" s="226">
        <f t="shared" si="40"/>
        <v>99.999999999999986</v>
      </c>
    </row>
    <row r="77" spans="1:14" ht="17.25" hidden="1" customHeight="1" outlineLevel="1">
      <c r="A77" s="1"/>
      <c r="B77" s="17" t="s">
        <v>174</v>
      </c>
      <c r="C77" s="1" t="s">
        <v>20</v>
      </c>
      <c r="D77" s="30">
        <v>54.6</v>
      </c>
      <c r="E77" s="30">
        <v>61.9</v>
      </c>
      <c r="F77" s="30">
        <v>62</v>
      </c>
      <c r="G77" s="30">
        <f t="shared" ref="G77:H80" si="43">F77</f>
        <v>62</v>
      </c>
      <c r="H77" s="30">
        <f t="shared" si="43"/>
        <v>62</v>
      </c>
      <c r="I77" s="48">
        <f t="shared" si="38"/>
        <v>100.16155088852989</v>
      </c>
      <c r="J77" s="30">
        <f t="shared" ref="J77:J80" si="44">H77</f>
        <v>62</v>
      </c>
      <c r="K77" s="48">
        <f t="shared" si="39"/>
        <v>100</v>
      </c>
      <c r="L77" s="3"/>
      <c r="N77" s="226">
        <f t="shared" si="40"/>
        <v>100</v>
      </c>
    </row>
    <row r="78" spans="1:14" ht="17.25" hidden="1" customHeight="1" outlineLevel="1">
      <c r="A78" s="1"/>
      <c r="B78" s="17" t="s">
        <v>175</v>
      </c>
      <c r="C78" s="1" t="s">
        <v>20</v>
      </c>
      <c r="D78" s="30">
        <v>2</v>
      </c>
      <c r="E78" s="30">
        <v>2</v>
      </c>
      <c r="F78" s="30">
        <v>2</v>
      </c>
      <c r="G78" s="30">
        <f t="shared" si="43"/>
        <v>2</v>
      </c>
      <c r="H78" s="30">
        <f t="shared" si="43"/>
        <v>2</v>
      </c>
      <c r="I78" s="48">
        <f t="shared" si="38"/>
        <v>100</v>
      </c>
      <c r="J78" s="30">
        <f t="shared" si="44"/>
        <v>2</v>
      </c>
      <c r="K78" s="48">
        <f t="shared" si="39"/>
        <v>100</v>
      </c>
      <c r="L78" s="3"/>
      <c r="N78" s="226">
        <f t="shared" si="40"/>
        <v>100</v>
      </c>
    </row>
    <row r="79" spans="1:14" ht="17.25" hidden="1" customHeight="1" outlineLevel="1">
      <c r="A79" s="1"/>
      <c r="B79" s="17" t="s">
        <v>176</v>
      </c>
      <c r="C79" s="1" t="s">
        <v>20</v>
      </c>
      <c r="D79" s="30">
        <v>46.4</v>
      </c>
      <c r="E79" s="30">
        <v>30.4</v>
      </c>
      <c r="F79" s="30">
        <v>30</v>
      </c>
      <c r="G79" s="30">
        <f t="shared" si="43"/>
        <v>30</v>
      </c>
      <c r="H79" s="30">
        <f t="shared" si="43"/>
        <v>30</v>
      </c>
      <c r="I79" s="48">
        <f t="shared" si="38"/>
        <v>98.684210526315795</v>
      </c>
      <c r="J79" s="30">
        <f t="shared" si="44"/>
        <v>30</v>
      </c>
      <c r="K79" s="48">
        <f t="shared" si="39"/>
        <v>100</v>
      </c>
      <c r="L79" s="3"/>
      <c r="N79" s="226">
        <f t="shared" si="40"/>
        <v>100</v>
      </c>
    </row>
    <row r="80" spans="1:14" ht="17.25" hidden="1" customHeight="1" outlineLevel="1">
      <c r="A80" s="1"/>
      <c r="B80" s="17" t="s">
        <v>177</v>
      </c>
      <c r="C80" s="1" t="s">
        <v>20</v>
      </c>
      <c r="D80" s="30"/>
      <c r="E80" s="30">
        <v>19.3</v>
      </c>
      <c r="F80" s="30">
        <v>19</v>
      </c>
      <c r="G80" s="30">
        <f t="shared" si="43"/>
        <v>19</v>
      </c>
      <c r="H80" s="30">
        <f t="shared" si="43"/>
        <v>19</v>
      </c>
      <c r="I80" s="48">
        <f t="shared" si="38"/>
        <v>98.445595854922274</v>
      </c>
      <c r="J80" s="30">
        <f t="shared" si="44"/>
        <v>19</v>
      </c>
      <c r="K80" s="48">
        <f t="shared" si="39"/>
        <v>100</v>
      </c>
      <c r="L80" s="3"/>
      <c r="N80" s="226">
        <f t="shared" si="40"/>
        <v>100</v>
      </c>
    </row>
    <row r="81" spans="1:14" ht="18.75" customHeight="1" collapsed="1">
      <c r="A81" s="8" t="s">
        <v>25</v>
      </c>
      <c r="B81" s="12" t="s">
        <v>48</v>
      </c>
      <c r="C81" s="1"/>
      <c r="D81" s="25"/>
      <c r="E81" s="30"/>
      <c r="F81" s="30"/>
      <c r="G81" s="30"/>
      <c r="H81" s="30"/>
      <c r="I81" s="53" t="str">
        <f t="shared" si="38"/>
        <v/>
      </c>
      <c r="J81" s="30"/>
      <c r="K81" s="53" t="str">
        <f t="shared" si="39"/>
        <v/>
      </c>
      <c r="L81" s="3"/>
      <c r="N81" s="226" t="str">
        <f t="shared" si="40"/>
        <v/>
      </c>
    </row>
    <row r="82" spans="1:14" ht="18.75" customHeight="1">
      <c r="A82" s="8">
        <v>1</v>
      </c>
      <c r="B82" s="12" t="s">
        <v>198</v>
      </c>
      <c r="C82" s="8" t="s">
        <v>31</v>
      </c>
      <c r="D82" s="24">
        <f>SUM(D83:D85)</f>
        <v>20219</v>
      </c>
      <c r="E82" s="24">
        <f t="shared" ref="E82:J82" si="45">SUM(E83:E85)</f>
        <v>18350</v>
      </c>
      <c r="F82" s="24">
        <f t="shared" si="45"/>
        <v>20650</v>
      </c>
      <c r="G82" s="24">
        <f t="shared" si="45"/>
        <v>17340</v>
      </c>
      <c r="H82" s="24">
        <f t="shared" si="45"/>
        <v>20800</v>
      </c>
      <c r="I82" s="53">
        <f t="shared" si="38"/>
        <v>113.35149863760218</v>
      </c>
      <c r="J82" s="24">
        <f t="shared" si="45"/>
        <v>21200</v>
      </c>
      <c r="K82" s="53">
        <f t="shared" si="39"/>
        <v>101.92307692307692</v>
      </c>
      <c r="L82" s="69"/>
      <c r="N82" s="226">
        <f t="shared" si="40"/>
        <v>100.72639225181598</v>
      </c>
    </row>
    <row r="83" spans="1:14" ht="18.75" customHeight="1">
      <c r="A83" s="1"/>
      <c r="B83" s="17" t="s">
        <v>117</v>
      </c>
      <c r="C83" s="1" t="s">
        <v>31</v>
      </c>
      <c r="D83" s="26">
        <v>2461</v>
      </c>
      <c r="E83" s="26">
        <v>2550</v>
      </c>
      <c r="F83" s="26">
        <v>2650</v>
      </c>
      <c r="G83" s="26">
        <v>2560</v>
      </c>
      <c r="H83" s="26">
        <v>2600</v>
      </c>
      <c r="I83" s="48">
        <f t="shared" si="38"/>
        <v>101.96078431372548</v>
      </c>
      <c r="J83" s="26">
        <v>2700</v>
      </c>
      <c r="K83" s="48">
        <f t="shared" si="39"/>
        <v>103.84615384615384</v>
      </c>
      <c r="L83" s="3"/>
      <c r="N83" s="226">
        <f t="shared" si="40"/>
        <v>98.113207547169807</v>
      </c>
    </row>
    <row r="84" spans="1:14" ht="18.75" customHeight="1">
      <c r="A84" s="1"/>
      <c r="B84" s="17" t="s">
        <v>118</v>
      </c>
      <c r="C84" s="1" t="s">
        <v>31</v>
      </c>
      <c r="D84" s="26">
        <v>4034</v>
      </c>
      <c r="E84" s="26">
        <v>4800</v>
      </c>
      <c r="F84" s="26">
        <v>5000</v>
      </c>
      <c r="G84" s="26">
        <v>5113</v>
      </c>
      <c r="H84" s="26">
        <v>5200</v>
      </c>
      <c r="I84" s="48">
        <f t="shared" si="38"/>
        <v>108.33333333333333</v>
      </c>
      <c r="J84" s="26">
        <v>5500</v>
      </c>
      <c r="K84" s="48">
        <f t="shared" si="39"/>
        <v>105.76923076923077</v>
      </c>
      <c r="L84" s="3"/>
      <c r="N84" s="226">
        <f t="shared" si="40"/>
        <v>104</v>
      </c>
    </row>
    <row r="85" spans="1:14" ht="18.75" customHeight="1">
      <c r="A85" s="1"/>
      <c r="B85" s="17" t="s">
        <v>119</v>
      </c>
      <c r="C85" s="1" t="s">
        <v>31</v>
      </c>
      <c r="D85" s="26">
        <v>13724</v>
      </c>
      <c r="E85" s="26">
        <v>11000</v>
      </c>
      <c r="F85" s="26">
        <v>13000</v>
      </c>
      <c r="G85" s="26">
        <v>9667</v>
      </c>
      <c r="H85" s="26">
        <v>13000</v>
      </c>
      <c r="I85" s="48">
        <f t="shared" si="38"/>
        <v>118.18181818181819</v>
      </c>
      <c r="J85" s="26">
        <v>13000</v>
      </c>
      <c r="K85" s="48">
        <f t="shared" si="39"/>
        <v>100</v>
      </c>
      <c r="L85" s="3"/>
      <c r="N85" s="226">
        <f t="shared" si="40"/>
        <v>100</v>
      </c>
    </row>
    <row r="86" spans="1:14" ht="18.75" customHeight="1">
      <c r="A86" s="8">
        <v>2</v>
      </c>
      <c r="B86" s="36" t="s">
        <v>15</v>
      </c>
      <c r="C86" s="8" t="s">
        <v>31</v>
      </c>
      <c r="D86" s="24">
        <v>77894</v>
      </c>
      <c r="E86" s="24">
        <v>87000</v>
      </c>
      <c r="F86" s="24">
        <v>87000</v>
      </c>
      <c r="G86" s="24">
        <v>73600</v>
      </c>
      <c r="H86" s="24">
        <v>87000</v>
      </c>
      <c r="I86" s="53">
        <f t="shared" si="38"/>
        <v>100</v>
      </c>
      <c r="J86" s="24">
        <v>86000</v>
      </c>
      <c r="K86" s="53">
        <f t="shared" si="39"/>
        <v>98.850574712643677</v>
      </c>
      <c r="L86" s="69"/>
      <c r="N86" s="226">
        <f t="shared" si="40"/>
        <v>100</v>
      </c>
    </row>
    <row r="87" spans="1:14" s="15" customFormat="1" ht="18.75" customHeight="1">
      <c r="A87" s="8" t="s">
        <v>26</v>
      </c>
      <c r="B87" s="36" t="s">
        <v>120</v>
      </c>
      <c r="C87" s="8"/>
      <c r="D87" s="24"/>
      <c r="E87" s="24"/>
      <c r="F87" s="24"/>
      <c r="G87" s="24"/>
      <c r="H87" s="24"/>
      <c r="I87" s="53" t="str">
        <f t="shared" si="38"/>
        <v/>
      </c>
      <c r="J87" s="24"/>
      <c r="K87" s="53" t="str">
        <f t="shared" si="39"/>
        <v/>
      </c>
      <c r="L87" s="69"/>
      <c r="N87" s="226" t="str">
        <f t="shared" si="40"/>
        <v/>
      </c>
    </row>
    <row r="88" spans="1:14" ht="18.75" customHeight="1">
      <c r="A88" s="1">
        <v>1</v>
      </c>
      <c r="B88" s="29" t="s">
        <v>121</v>
      </c>
      <c r="C88" s="1" t="s">
        <v>20</v>
      </c>
      <c r="D88" s="25">
        <v>85</v>
      </c>
      <c r="E88" s="25">
        <v>85.5</v>
      </c>
      <c r="F88" s="25">
        <v>85.5</v>
      </c>
      <c r="G88" s="25">
        <v>89.100000000000009</v>
      </c>
      <c r="H88" s="25">
        <v>89.100000000000009</v>
      </c>
      <c r="I88" s="48">
        <f t="shared" si="38"/>
        <v>104.21052631578948</v>
      </c>
      <c r="J88" s="25">
        <v>89.100000000000009</v>
      </c>
      <c r="K88" s="48">
        <f t="shared" si="39"/>
        <v>100</v>
      </c>
      <c r="L88" s="3"/>
      <c r="N88" s="226">
        <f t="shared" si="40"/>
        <v>104.21052631578948</v>
      </c>
    </row>
    <row r="89" spans="1:14" ht="18.75" customHeight="1">
      <c r="A89" s="1">
        <v>2</v>
      </c>
      <c r="B89" s="29" t="s">
        <v>122</v>
      </c>
      <c r="C89" s="1" t="s">
        <v>47</v>
      </c>
      <c r="D89" s="26">
        <f t="shared" ref="D89:J89" si="46">D90+D91</f>
        <v>427.4</v>
      </c>
      <c r="E89" s="26">
        <f t="shared" si="46"/>
        <v>320</v>
      </c>
      <c r="F89" s="26">
        <f t="shared" si="46"/>
        <v>335</v>
      </c>
      <c r="G89" s="26">
        <f t="shared" si="46"/>
        <v>124</v>
      </c>
      <c r="H89" s="26">
        <f t="shared" si="46"/>
        <v>207</v>
      </c>
      <c r="I89" s="48">
        <f t="shared" si="38"/>
        <v>64.6875</v>
      </c>
      <c r="J89" s="26">
        <f t="shared" si="46"/>
        <v>210</v>
      </c>
      <c r="K89" s="48">
        <f t="shared" si="39"/>
        <v>101.44927536231884</v>
      </c>
      <c r="L89" s="3"/>
      <c r="N89" s="226">
        <f t="shared" si="40"/>
        <v>61.791044776119399</v>
      </c>
    </row>
    <row r="90" spans="1:14" ht="18.75" customHeight="1">
      <c r="A90" s="1"/>
      <c r="B90" s="38" t="s">
        <v>123</v>
      </c>
      <c r="C90" s="1" t="s">
        <v>47</v>
      </c>
      <c r="D90" s="26">
        <v>211.9</v>
      </c>
      <c r="E90" s="26">
        <v>210</v>
      </c>
      <c r="F90" s="26">
        <v>210</v>
      </c>
      <c r="G90" s="26">
        <v>86.5</v>
      </c>
      <c r="H90" s="26">
        <v>137</v>
      </c>
      <c r="I90" s="48">
        <f t="shared" si="38"/>
        <v>65.238095238095241</v>
      </c>
      <c r="J90" s="26">
        <v>140</v>
      </c>
      <c r="K90" s="48">
        <f t="shared" si="39"/>
        <v>102.1897810218978</v>
      </c>
      <c r="L90" s="3"/>
      <c r="N90" s="226">
        <f t="shared" si="40"/>
        <v>65.238095238095241</v>
      </c>
    </row>
    <row r="91" spans="1:14" ht="18.75" customHeight="1">
      <c r="A91" s="1"/>
      <c r="B91" s="38" t="s">
        <v>124</v>
      </c>
      <c r="C91" s="1" t="s">
        <v>47</v>
      </c>
      <c r="D91" s="26">
        <v>215.5</v>
      </c>
      <c r="E91" s="26">
        <v>110</v>
      </c>
      <c r="F91" s="26">
        <v>125</v>
      </c>
      <c r="G91" s="26">
        <v>37.5</v>
      </c>
      <c r="H91" s="26">
        <v>70</v>
      </c>
      <c r="I91" s="48">
        <f t="shared" si="38"/>
        <v>63.636363636363633</v>
      </c>
      <c r="J91" s="26">
        <v>70</v>
      </c>
      <c r="K91" s="48">
        <f t="shared" si="39"/>
        <v>100</v>
      </c>
      <c r="L91" s="3"/>
      <c r="N91" s="226">
        <f t="shared" si="40"/>
        <v>56</v>
      </c>
    </row>
    <row r="92" spans="1:14">
      <c r="A92" s="39" t="s">
        <v>28</v>
      </c>
      <c r="B92" s="40" t="s">
        <v>49</v>
      </c>
      <c r="C92" s="39"/>
      <c r="D92" s="10"/>
      <c r="E92" s="10"/>
      <c r="F92" s="10"/>
      <c r="G92" s="10"/>
      <c r="H92" s="10"/>
      <c r="I92" s="53" t="str">
        <f t="shared" si="38"/>
        <v/>
      </c>
      <c r="J92" s="10"/>
      <c r="K92" s="53" t="str">
        <f t="shared" si="39"/>
        <v/>
      </c>
      <c r="L92" s="3"/>
      <c r="N92" s="226" t="str">
        <f t="shared" si="40"/>
        <v/>
      </c>
    </row>
    <row r="93" spans="1:14" ht="19.5" customHeight="1">
      <c r="A93" s="41"/>
      <c r="B93" s="42" t="s">
        <v>125</v>
      </c>
      <c r="C93" s="1" t="s">
        <v>20</v>
      </c>
      <c r="D93" s="43">
        <v>500.3</v>
      </c>
      <c r="E93" s="43">
        <v>4</v>
      </c>
      <c r="F93" s="43"/>
      <c r="G93" s="43"/>
      <c r="H93" s="43"/>
      <c r="I93" s="48">
        <f t="shared" si="38"/>
        <v>0</v>
      </c>
      <c r="J93" s="43"/>
      <c r="K93" s="48" t="str">
        <f t="shared" si="39"/>
        <v/>
      </c>
      <c r="L93" s="3"/>
      <c r="N93" s="226" t="str">
        <f t="shared" si="40"/>
        <v/>
      </c>
    </row>
    <row r="94" spans="1:14" ht="19.5" customHeight="1">
      <c r="A94" s="41"/>
      <c r="B94" s="29" t="s">
        <v>463</v>
      </c>
      <c r="C94" s="1" t="s">
        <v>20</v>
      </c>
      <c r="D94" s="43">
        <v>50870.31</v>
      </c>
      <c r="E94" s="43">
        <v>50870.31</v>
      </c>
      <c r="F94" s="43">
        <v>50870.31</v>
      </c>
      <c r="G94" s="43">
        <v>50870.31</v>
      </c>
      <c r="H94" s="43">
        <v>50870.31</v>
      </c>
      <c r="I94" s="48">
        <f t="shared" si="38"/>
        <v>100</v>
      </c>
      <c r="J94" s="43">
        <v>50870.31</v>
      </c>
      <c r="K94" s="48">
        <f t="shared" si="39"/>
        <v>100</v>
      </c>
      <c r="L94" s="3"/>
      <c r="N94" s="226">
        <f t="shared" si="40"/>
        <v>100</v>
      </c>
    </row>
    <row r="95" spans="1:14" ht="19.5" customHeight="1">
      <c r="A95" s="41"/>
      <c r="B95" s="29" t="s">
        <v>464</v>
      </c>
      <c r="C95" s="1" t="s">
        <v>20</v>
      </c>
      <c r="D95" s="43"/>
      <c r="E95" s="43">
        <v>15886.3</v>
      </c>
      <c r="F95" s="43">
        <v>15886</v>
      </c>
      <c r="G95" s="43">
        <v>15886</v>
      </c>
      <c r="H95" s="43">
        <v>15886</v>
      </c>
      <c r="I95" s="48">
        <f t="shared" si="38"/>
        <v>99.998111580418353</v>
      </c>
      <c r="J95" s="43">
        <v>15886</v>
      </c>
      <c r="K95" s="48">
        <f t="shared" si="39"/>
        <v>99.999999999999986</v>
      </c>
      <c r="L95" s="3"/>
      <c r="N95" s="226">
        <f t="shared" si="40"/>
        <v>99.999999999999986</v>
      </c>
    </row>
    <row r="96" spans="1:14" ht="19.5" customHeight="1">
      <c r="A96" s="41"/>
      <c r="B96" s="42" t="s">
        <v>462</v>
      </c>
      <c r="C96" s="1" t="s">
        <v>16</v>
      </c>
      <c r="D96" s="214">
        <v>31.37</v>
      </c>
      <c r="E96" s="229">
        <f>E95/50640%</f>
        <v>31.37105055292259</v>
      </c>
      <c r="F96" s="229">
        <f t="shared" ref="F96:J96" si="47">F95/50640%</f>
        <v>31.370458135860982</v>
      </c>
      <c r="G96" s="229">
        <f t="shared" si="47"/>
        <v>31.370458135860982</v>
      </c>
      <c r="H96" s="229">
        <f t="shared" si="47"/>
        <v>31.370458135860982</v>
      </c>
      <c r="I96" s="48">
        <f t="shared" si="38"/>
        <v>99.998111580418353</v>
      </c>
      <c r="J96" s="229">
        <f t="shared" si="47"/>
        <v>31.370458135860982</v>
      </c>
      <c r="K96" s="48">
        <f t="shared" si="39"/>
        <v>99.999999999999986</v>
      </c>
      <c r="L96" s="3"/>
      <c r="N96" s="226">
        <f t="shared" si="40"/>
        <v>99.999999999999986</v>
      </c>
    </row>
    <row r="97" spans="1:14" s="15" customFormat="1" ht="17.25" customHeight="1">
      <c r="A97" s="8">
        <v>1</v>
      </c>
      <c r="B97" s="12" t="s">
        <v>14</v>
      </c>
      <c r="C97" s="8" t="s">
        <v>20</v>
      </c>
      <c r="D97" s="13">
        <v>1646</v>
      </c>
      <c r="E97" s="13">
        <f>D97+E98</f>
        <v>1675</v>
      </c>
      <c r="F97" s="13">
        <f>E97+F98</f>
        <v>1710</v>
      </c>
      <c r="G97" s="13">
        <f>E97+G98</f>
        <v>1710</v>
      </c>
      <c r="H97" s="13">
        <f>E97+H98</f>
        <v>1729</v>
      </c>
      <c r="I97" s="53">
        <f t="shared" si="38"/>
        <v>103.22388059701493</v>
      </c>
      <c r="J97" s="13">
        <f>H97+J98</f>
        <v>1729</v>
      </c>
      <c r="K97" s="53">
        <f t="shared" si="39"/>
        <v>100</v>
      </c>
      <c r="L97" s="69"/>
      <c r="M97" s="73"/>
      <c r="N97" s="226">
        <f t="shared" si="40"/>
        <v>101.1111111111111</v>
      </c>
    </row>
    <row r="98" spans="1:14" ht="17.25" customHeight="1">
      <c r="A98" s="1"/>
      <c r="B98" s="17" t="s">
        <v>53</v>
      </c>
      <c r="C98" s="1" t="s">
        <v>20</v>
      </c>
      <c r="D98" s="19">
        <v>57.2</v>
      </c>
      <c r="E98" s="19">
        <v>29</v>
      </c>
      <c r="F98" s="19">
        <v>35</v>
      </c>
      <c r="G98" s="19">
        <f>F98</f>
        <v>35</v>
      </c>
      <c r="H98" s="19">
        <v>54</v>
      </c>
      <c r="I98" s="48">
        <f t="shared" si="38"/>
        <v>186.20689655172416</v>
      </c>
      <c r="J98" s="19"/>
      <c r="K98" s="48">
        <f t="shared" si="39"/>
        <v>0</v>
      </c>
      <c r="L98" s="3"/>
      <c r="N98" s="226">
        <f t="shared" si="40"/>
        <v>154.28571428571431</v>
      </c>
    </row>
    <row r="99" spans="1:14" s="15" customFormat="1" hidden="1">
      <c r="A99" s="8" t="s">
        <v>76</v>
      </c>
      <c r="B99" s="44" t="s">
        <v>80</v>
      </c>
      <c r="C99" s="8"/>
      <c r="D99" s="126"/>
      <c r="E99" s="126"/>
      <c r="F99" s="126"/>
      <c r="G99" s="126"/>
      <c r="H99" s="126"/>
      <c r="I99" s="53" t="str">
        <f t="shared" si="38"/>
        <v/>
      </c>
      <c r="J99" s="126"/>
      <c r="K99" s="53" t="str">
        <f t="shared" si="39"/>
        <v/>
      </c>
      <c r="L99" s="53"/>
      <c r="N99" s="226" t="str">
        <f t="shared" si="40"/>
        <v/>
      </c>
    </row>
    <row r="100" spans="1:14" ht="22.5" hidden="1" customHeight="1">
      <c r="A100" s="8">
        <v>1</v>
      </c>
      <c r="B100" s="44" t="s">
        <v>200</v>
      </c>
      <c r="C100" s="8" t="s">
        <v>126</v>
      </c>
      <c r="D100" s="24">
        <v>676693</v>
      </c>
      <c r="E100" s="24">
        <v>708000</v>
      </c>
      <c r="F100" s="24">
        <v>722000</v>
      </c>
      <c r="G100" s="24">
        <v>435000</v>
      </c>
      <c r="H100" s="24">
        <f>F100</f>
        <v>722000</v>
      </c>
      <c r="I100" s="53">
        <f t="shared" si="38"/>
        <v>101.9774011299435</v>
      </c>
      <c r="J100" s="24">
        <v>749000</v>
      </c>
      <c r="K100" s="53">
        <f t="shared" si="39"/>
        <v>103.73961218836565</v>
      </c>
      <c r="L100" s="69"/>
      <c r="N100" s="226">
        <f t="shared" si="40"/>
        <v>100</v>
      </c>
    </row>
    <row r="101" spans="1:14" ht="20.25" hidden="1" customHeight="1">
      <c r="A101" s="1">
        <v>2</v>
      </c>
      <c r="B101" s="17" t="s">
        <v>128</v>
      </c>
      <c r="C101" s="1"/>
      <c r="D101" s="10"/>
      <c r="E101" s="10"/>
      <c r="F101" s="10"/>
      <c r="G101" s="126"/>
      <c r="H101" s="10"/>
      <c r="I101" s="48" t="str">
        <f t="shared" si="38"/>
        <v/>
      </c>
      <c r="J101" s="10"/>
      <c r="K101" s="48" t="str">
        <f t="shared" si="39"/>
        <v/>
      </c>
      <c r="L101" s="3"/>
      <c r="N101" s="226" t="str">
        <f t="shared" si="40"/>
        <v/>
      </c>
    </row>
    <row r="102" spans="1:14" ht="20.25" hidden="1" customHeight="1">
      <c r="A102" s="1"/>
      <c r="B102" s="17" t="s">
        <v>129</v>
      </c>
      <c r="C102" s="1" t="s">
        <v>40</v>
      </c>
      <c r="D102" s="26">
        <v>40</v>
      </c>
      <c r="E102" s="26">
        <v>42</v>
      </c>
      <c r="F102" s="26">
        <v>40</v>
      </c>
      <c r="G102" s="26">
        <v>25</v>
      </c>
      <c r="H102" s="26">
        <f>F102</f>
        <v>40</v>
      </c>
      <c r="I102" s="48">
        <f t="shared" si="38"/>
        <v>95.238095238095241</v>
      </c>
      <c r="J102" s="26">
        <v>45</v>
      </c>
      <c r="K102" s="48">
        <f t="shared" si="39"/>
        <v>112.5</v>
      </c>
      <c r="L102" s="3"/>
      <c r="N102" s="228">
        <f t="shared" si="40"/>
        <v>100</v>
      </c>
    </row>
    <row r="103" spans="1:14" ht="20.25" hidden="1" customHeight="1">
      <c r="A103" s="1"/>
      <c r="B103" s="17" t="s">
        <v>135</v>
      </c>
      <c r="C103" s="1" t="s">
        <v>40</v>
      </c>
      <c r="D103" s="26">
        <v>35</v>
      </c>
      <c r="E103" s="26">
        <v>30</v>
      </c>
      <c r="F103" s="26">
        <v>40</v>
      </c>
      <c r="G103" s="26">
        <v>30</v>
      </c>
      <c r="H103" s="26">
        <f t="shared" ref="H103:H107" si="48">F103</f>
        <v>40</v>
      </c>
      <c r="I103" s="48">
        <f t="shared" si="38"/>
        <v>133.33333333333334</v>
      </c>
      <c r="J103" s="26">
        <v>45</v>
      </c>
      <c r="K103" s="48">
        <f t="shared" si="39"/>
        <v>112.5</v>
      </c>
      <c r="L103" s="3"/>
      <c r="N103" s="228">
        <f t="shared" si="40"/>
        <v>100</v>
      </c>
    </row>
    <row r="104" spans="1:14" ht="20.25" hidden="1" customHeight="1">
      <c r="A104" s="1"/>
      <c r="B104" s="17" t="s">
        <v>130</v>
      </c>
      <c r="C104" s="1" t="s">
        <v>47</v>
      </c>
      <c r="D104" s="26">
        <v>57219</v>
      </c>
      <c r="E104" s="26">
        <v>60000</v>
      </c>
      <c r="F104" s="26">
        <v>55000</v>
      </c>
      <c r="G104" s="26">
        <v>33292</v>
      </c>
      <c r="H104" s="26">
        <f t="shared" si="48"/>
        <v>55000</v>
      </c>
      <c r="I104" s="48">
        <f t="shared" si="38"/>
        <v>91.666666666666671</v>
      </c>
      <c r="J104" s="26">
        <v>55000</v>
      </c>
      <c r="K104" s="48">
        <f t="shared" si="39"/>
        <v>100</v>
      </c>
      <c r="L104" s="3"/>
      <c r="N104" s="228">
        <f t="shared" si="40"/>
        <v>100</v>
      </c>
    </row>
    <row r="105" spans="1:14" ht="20.25" hidden="1" customHeight="1">
      <c r="A105" s="1"/>
      <c r="B105" s="17" t="s">
        <v>131</v>
      </c>
      <c r="C105" s="1" t="s">
        <v>47</v>
      </c>
      <c r="D105" s="26">
        <v>12363</v>
      </c>
      <c r="E105" s="26">
        <v>13000</v>
      </c>
      <c r="F105" s="26">
        <v>12000</v>
      </c>
      <c r="G105" s="26">
        <v>6786</v>
      </c>
      <c r="H105" s="26">
        <f t="shared" si="48"/>
        <v>12000</v>
      </c>
      <c r="I105" s="48">
        <f t="shared" si="38"/>
        <v>92.307692307692307</v>
      </c>
      <c r="J105" s="26">
        <v>12000</v>
      </c>
      <c r="K105" s="48">
        <f t="shared" si="39"/>
        <v>100</v>
      </c>
      <c r="L105" s="3"/>
      <c r="N105" s="228">
        <f t="shared" si="40"/>
        <v>100</v>
      </c>
    </row>
    <row r="106" spans="1:14" ht="20.25" hidden="1" customHeight="1">
      <c r="A106" s="1"/>
      <c r="B106" s="17" t="s">
        <v>132</v>
      </c>
      <c r="C106" s="1" t="s">
        <v>217</v>
      </c>
      <c r="D106" s="26">
        <v>39713</v>
      </c>
      <c r="E106" s="26">
        <v>41000</v>
      </c>
      <c r="F106" s="26">
        <v>60000</v>
      </c>
      <c r="G106" s="26">
        <f>F106/12*8</f>
        <v>40000</v>
      </c>
      <c r="H106" s="26">
        <f t="shared" si="48"/>
        <v>60000</v>
      </c>
      <c r="I106" s="48">
        <f t="shared" si="38"/>
        <v>146.34146341463415</v>
      </c>
      <c r="J106" s="26">
        <v>80000</v>
      </c>
      <c r="K106" s="48">
        <f t="shared" si="39"/>
        <v>133.33333333333334</v>
      </c>
      <c r="L106" s="3"/>
      <c r="N106" s="228">
        <f t="shared" si="40"/>
        <v>100</v>
      </c>
    </row>
    <row r="107" spans="1:14" ht="20.25" hidden="1" customHeight="1">
      <c r="A107" s="1"/>
      <c r="B107" s="17" t="s">
        <v>133</v>
      </c>
      <c r="C107" s="1" t="s">
        <v>217</v>
      </c>
      <c r="D107" s="26">
        <v>34500</v>
      </c>
      <c r="E107" s="26">
        <v>35000</v>
      </c>
      <c r="F107" s="26">
        <v>54000</v>
      </c>
      <c r="G107" s="26">
        <f>F107/12*8</f>
        <v>36000</v>
      </c>
      <c r="H107" s="26">
        <f t="shared" si="48"/>
        <v>54000</v>
      </c>
      <c r="I107" s="48">
        <f t="shared" si="38"/>
        <v>154.28571428571428</v>
      </c>
      <c r="J107" s="26">
        <v>70000</v>
      </c>
      <c r="K107" s="48">
        <f t="shared" si="39"/>
        <v>129.62962962962962</v>
      </c>
      <c r="L107" s="3"/>
      <c r="N107" s="228">
        <f t="shared" si="40"/>
        <v>100</v>
      </c>
    </row>
    <row r="108" spans="1:14" s="15" customFormat="1" ht="17.25" hidden="1" customHeight="1">
      <c r="A108" s="8" t="s">
        <v>79</v>
      </c>
      <c r="B108" s="12" t="s">
        <v>201</v>
      </c>
      <c r="C108" s="8"/>
      <c r="D108" s="26"/>
      <c r="E108" s="26"/>
      <c r="F108" s="26"/>
      <c r="G108" s="26"/>
      <c r="H108" s="26"/>
      <c r="I108" s="53" t="str">
        <f t="shared" si="38"/>
        <v/>
      </c>
      <c r="J108" s="26"/>
      <c r="K108" s="53" t="str">
        <f t="shared" si="39"/>
        <v/>
      </c>
      <c r="L108" s="53"/>
      <c r="N108" s="228" t="str">
        <f t="shared" si="40"/>
        <v/>
      </c>
    </row>
    <row r="109" spans="1:14" ht="22.5" hidden="1" customHeight="1">
      <c r="A109" s="1">
        <v>1</v>
      </c>
      <c r="B109" s="17" t="s">
        <v>81</v>
      </c>
      <c r="C109" s="1" t="s">
        <v>126</v>
      </c>
      <c r="D109" s="26">
        <v>560310</v>
      </c>
      <c r="E109" s="26">
        <v>595000</v>
      </c>
      <c r="F109" s="26">
        <v>696000</v>
      </c>
      <c r="G109" s="26">
        <v>366000</v>
      </c>
      <c r="H109" s="26">
        <v>700000</v>
      </c>
      <c r="I109" s="48">
        <f t="shared" si="38"/>
        <v>117.64705882352941</v>
      </c>
      <c r="J109" s="26">
        <v>750000</v>
      </c>
      <c r="K109" s="48">
        <f t="shared" si="39"/>
        <v>107.14285714285714</v>
      </c>
      <c r="L109" s="3"/>
      <c r="N109" s="228">
        <f t="shared" si="40"/>
        <v>100.57471264367815</v>
      </c>
    </row>
    <row r="110" spans="1:14" ht="19.5" hidden="1" customHeight="1">
      <c r="A110" s="84"/>
      <c r="B110" s="105" t="s">
        <v>205</v>
      </c>
      <c r="C110" s="84"/>
      <c r="D110" s="86"/>
      <c r="E110" s="86"/>
      <c r="F110" s="86"/>
      <c r="G110" s="86"/>
      <c r="H110" s="86"/>
      <c r="I110" s="106" t="str">
        <f t="shared" si="38"/>
        <v/>
      </c>
      <c r="J110" s="86"/>
      <c r="K110" s="106" t="str">
        <f t="shared" si="39"/>
        <v/>
      </c>
      <c r="L110" s="3"/>
      <c r="N110" s="228" t="str">
        <f t="shared" si="40"/>
        <v/>
      </c>
    </row>
    <row r="111" spans="1:14" s="15" customFormat="1" ht="22.5" hidden="1" customHeight="1">
      <c r="A111" s="8" t="s">
        <v>21</v>
      </c>
      <c r="B111" s="12" t="s">
        <v>147</v>
      </c>
      <c r="C111" s="8"/>
      <c r="D111" s="126"/>
      <c r="E111" s="126"/>
      <c r="F111" s="126"/>
      <c r="G111" s="126"/>
      <c r="H111" s="126"/>
      <c r="I111" s="53" t="str">
        <f t="shared" si="38"/>
        <v/>
      </c>
      <c r="J111" s="126"/>
      <c r="K111" s="53" t="str">
        <f t="shared" si="39"/>
        <v/>
      </c>
      <c r="L111" s="69"/>
      <c r="N111" s="228" t="str">
        <f t="shared" si="40"/>
        <v/>
      </c>
    </row>
    <row r="112" spans="1:14" ht="22.5" hidden="1" customHeight="1" outlineLevel="1">
      <c r="A112" s="1">
        <v>1</v>
      </c>
      <c r="B112" s="17" t="s">
        <v>148</v>
      </c>
      <c r="C112" s="1" t="s">
        <v>38</v>
      </c>
      <c r="D112" s="26">
        <v>10520</v>
      </c>
      <c r="E112" s="26">
        <f>D113</f>
        <v>10685</v>
      </c>
      <c r="F112" s="26">
        <f>E113</f>
        <v>11308</v>
      </c>
      <c r="G112" s="26">
        <f>E113</f>
        <v>11308</v>
      </c>
      <c r="H112" s="26">
        <f>F112</f>
        <v>11308</v>
      </c>
      <c r="I112" s="48">
        <f t="shared" si="38"/>
        <v>105.83060364997661</v>
      </c>
      <c r="J112" s="26">
        <f>H113</f>
        <v>11938</v>
      </c>
      <c r="K112" s="48">
        <f t="shared" si="39"/>
        <v>105.57127697205519</v>
      </c>
      <c r="L112" s="3"/>
      <c r="N112" s="228">
        <f t="shared" si="40"/>
        <v>100</v>
      </c>
    </row>
    <row r="113" spans="1:14" ht="22.5" hidden="1" customHeight="1" outlineLevel="1">
      <c r="A113" s="1">
        <v>2</v>
      </c>
      <c r="B113" s="17" t="s">
        <v>101</v>
      </c>
      <c r="C113" s="1" t="s">
        <v>38</v>
      </c>
      <c r="D113" s="26">
        <v>10685</v>
      </c>
      <c r="E113" s="26">
        <v>11308</v>
      </c>
      <c r="F113" s="26">
        <f>F112+630</f>
        <v>11938</v>
      </c>
      <c r="G113" s="26">
        <f>G112+420</f>
        <v>11728</v>
      </c>
      <c r="H113" s="26">
        <f>F113</f>
        <v>11938</v>
      </c>
      <c r="I113" s="48">
        <f t="shared" si="38"/>
        <v>105.57127697205519</v>
      </c>
      <c r="J113" s="26">
        <f>J112+650</f>
        <v>12588</v>
      </c>
      <c r="K113" s="48">
        <f t="shared" si="39"/>
        <v>105.4447981236388</v>
      </c>
      <c r="L113" s="3"/>
      <c r="M113" s="63"/>
      <c r="N113" s="228">
        <f t="shared" si="40"/>
        <v>100</v>
      </c>
    </row>
    <row r="114" spans="1:14" ht="22.5" hidden="1" customHeight="1">
      <c r="A114" s="1">
        <v>1</v>
      </c>
      <c r="B114" s="17" t="s">
        <v>58</v>
      </c>
      <c r="C114" s="1" t="s">
        <v>45</v>
      </c>
      <c r="D114" s="26">
        <v>44006</v>
      </c>
      <c r="E114" s="26">
        <f>D115</f>
        <v>45290</v>
      </c>
      <c r="F114" s="26">
        <f>E115</f>
        <v>46365</v>
      </c>
      <c r="G114" s="26">
        <f>E115</f>
        <v>46365</v>
      </c>
      <c r="H114" s="26">
        <f>E115</f>
        <v>46365</v>
      </c>
      <c r="I114" s="48">
        <f t="shared" si="38"/>
        <v>102.37359240450431</v>
      </c>
      <c r="J114" s="26">
        <f>H115</f>
        <v>47500</v>
      </c>
      <c r="K114" s="48">
        <f t="shared" si="39"/>
        <v>102.4479672166505</v>
      </c>
      <c r="L114" s="3"/>
      <c r="M114" s="63"/>
      <c r="N114" s="228">
        <f t="shared" si="40"/>
        <v>100</v>
      </c>
    </row>
    <row r="115" spans="1:14" ht="22.5" hidden="1" customHeight="1">
      <c r="A115" s="1">
        <v>2</v>
      </c>
      <c r="B115" s="17" t="s">
        <v>59</v>
      </c>
      <c r="C115" s="1" t="s">
        <v>45</v>
      </c>
      <c r="D115" s="26">
        <v>45290</v>
      </c>
      <c r="E115" s="26">
        <v>46365</v>
      </c>
      <c r="F115" s="26">
        <v>47500</v>
      </c>
      <c r="G115" s="26">
        <f>G114+757</f>
        <v>47122</v>
      </c>
      <c r="H115" s="26">
        <f>F115</f>
        <v>47500</v>
      </c>
      <c r="I115" s="48">
        <f t="shared" si="38"/>
        <v>102.4479672166505</v>
      </c>
      <c r="J115" s="26">
        <v>48545</v>
      </c>
      <c r="K115" s="48">
        <f t="shared" si="39"/>
        <v>102.2</v>
      </c>
      <c r="L115" s="3"/>
      <c r="M115" s="63"/>
      <c r="N115" s="228">
        <f t="shared" si="40"/>
        <v>100</v>
      </c>
    </row>
    <row r="116" spans="1:14" ht="22.5" hidden="1" customHeight="1">
      <c r="A116" s="1">
        <v>3</v>
      </c>
      <c r="B116" s="17" t="s">
        <v>134</v>
      </c>
      <c r="C116" s="1" t="s">
        <v>45</v>
      </c>
      <c r="D116" s="26">
        <f t="shared" ref="D116:J116" si="49">(D114+D115)/2</f>
        <v>44648</v>
      </c>
      <c r="E116" s="26">
        <f t="shared" si="49"/>
        <v>45827.5</v>
      </c>
      <c r="F116" s="26">
        <f t="shared" si="49"/>
        <v>46932.5</v>
      </c>
      <c r="G116" s="26">
        <f t="shared" si="49"/>
        <v>46743.5</v>
      </c>
      <c r="H116" s="26">
        <f t="shared" si="49"/>
        <v>46932.5</v>
      </c>
      <c r="I116" s="48">
        <f t="shared" si="38"/>
        <v>102.41121597294202</v>
      </c>
      <c r="J116" s="26">
        <f t="shared" si="49"/>
        <v>48022.5</v>
      </c>
      <c r="K116" s="48">
        <f t="shared" si="39"/>
        <v>102.32248441911256</v>
      </c>
      <c r="L116" s="3"/>
      <c r="M116" s="63"/>
      <c r="N116" s="228">
        <f t="shared" si="40"/>
        <v>100</v>
      </c>
    </row>
    <row r="117" spans="1:14" ht="22.5" hidden="1" customHeight="1">
      <c r="A117" s="1">
        <v>4</v>
      </c>
      <c r="B117" s="38" t="s">
        <v>160</v>
      </c>
      <c r="C117" s="18" t="s">
        <v>70</v>
      </c>
      <c r="D117" s="61">
        <v>22.62</v>
      </c>
      <c r="E117" s="61">
        <v>22.92</v>
      </c>
      <c r="F117" s="61">
        <v>22</v>
      </c>
      <c r="G117" s="61">
        <v>22</v>
      </c>
      <c r="H117" s="61">
        <v>22</v>
      </c>
      <c r="I117" s="48">
        <f t="shared" si="38"/>
        <v>95.986038394415345</v>
      </c>
      <c r="J117" s="61">
        <v>20</v>
      </c>
      <c r="K117" s="48">
        <f t="shared" si="39"/>
        <v>90.909090909090907</v>
      </c>
      <c r="L117" s="3"/>
      <c r="N117" s="228">
        <f t="shared" si="40"/>
        <v>100</v>
      </c>
    </row>
    <row r="118" spans="1:14" s="15" customFormat="1" ht="21" hidden="1" customHeight="1">
      <c r="A118" s="8" t="s">
        <v>22</v>
      </c>
      <c r="B118" s="12" t="s">
        <v>66</v>
      </c>
      <c r="C118" s="8"/>
      <c r="D118" s="47"/>
      <c r="E118" s="47"/>
      <c r="F118" s="47"/>
      <c r="G118" s="47"/>
      <c r="H118" s="47"/>
      <c r="I118" s="53" t="str">
        <f t="shared" si="38"/>
        <v/>
      </c>
      <c r="J118" s="47"/>
      <c r="K118" s="53" t="str">
        <f t="shared" si="39"/>
        <v/>
      </c>
      <c r="L118" s="69"/>
      <c r="N118" s="228" t="str">
        <f t="shared" si="40"/>
        <v/>
      </c>
    </row>
    <row r="119" spans="1:14" ht="21" hidden="1" customHeight="1">
      <c r="A119" s="1">
        <v>1</v>
      </c>
      <c r="B119" s="17" t="s">
        <v>161</v>
      </c>
      <c r="C119" s="1" t="s">
        <v>16</v>
      </c>
      <c r="D119" s="48">
        <v>42.86</v>
      </c>
      <c r="E119" s="48">
        <v>43</v>
      </c>
      <c r="F119" s="48">
        <v>44</v>
      </c>
      <c r="G119" s="48">
        <v>43</v>
      </c>
      <c r="H119" s="48">
        <f>F119</f>
        <v>44</v>
      </c>
      <c r="I119" s="48">
        <f t="shared" si="38"/>
        <v>102.32558139534883</v>
      </c>
      <c r="J119" s="48">
        <v>44.5</v>
      </c>
      <c r="K119" s="48">
        <f t="shared" si="39"/>
        <v>101.13636363636364</v>
      </c>
      <c r="L119" s="3"/>
      <c r="N119" s="228">
        <f t="shared" si="40"/>
        <v>100</v>
      </c>
    </row>
    <row r="120" spans="1:14" ht="21" hidden="1" customHeight="1">
      <c r="A120" s="1"/>
      <c r="B120" s="17" t="s">
        <v>162</v>
      </c>
      <c r="C120" s="1" t="s">
        <v>16</v>
      </c>
      <c r="D120" s="48">
        <v>32</v>
      </c>
      <c r="E120" s="48">
        <v>35</v>
      </c>
      <c r="F120" s="48">
        <v>36</v>
      </c>
      <c r="G120" s="48">
        <v>35</v>
      </c>
      <c r="H120" s="48">
        <f t="shared" ref="H120:H122" si="50">F120</f>
        <v>36</v>
      </c>
      <c r="I120" s="48">
        <f t="shared" si="38"/>
        <v>102.85714285714286</v>
      </c>
      <c r="J120" s="48">
        <v>36.5</v>
      </c>
      <c r="K120" s="48">
        <f t="shared" si="39"/>
        <v>101.38888888888889</v>
      </c>
      <c r="L120" s="3"/>
      <c r="N120" s="228">
        <f t="shared" si="40"/>
        <v>100</v>
      </c>
    </row>
    <row r="121" spans="1:14" ht="46.8" hidden="1">
      <c r="A121" s="1">
        <v>2</v>
      </c>
      <c r="B121" s="17" t="s">
        <v>152</v>
      </c>
      <c r="C121" s="1" t="s">
        <v>51</v>
      </c>
      <c r="D121" s="49">
        <f>174+50</f>
        <v>224</v>
      </c>
      <c r="E121" s="49">
        <v>175</v>
      </c>
      <c r="F121" s="49">
        <v>250</v>
      </c>
      <c r="G121" s="49">
        <v>305</v>
      </c>
      <c r="H121" s="49">
        <f>G121</f>
        <v>305</v>
      </c>
      <c r="I121" s="48">
        <f t="shared" si="38"/>
        <v>174.28571428571428</v>
      </c>
      <c r="J121" s="49">
        <v>390</v>
      </c>
      <c r="K121" s="48">
        <f t="shared" si="39"/>
        <v>127.8688524590164</v>
      </c>
      <c r="L121" s="3"/>
      <c r="N121" s="228">
        <f t="shared" si="40"/>
        <v>122</v>
      </c>
    </row>
    <row r="122" spans="1:14" ht="30.75" hidden="1" customHeight="1">
      <c r="A122" s="1"/>
      <c r="B122" s="17" t="s">
        <v>164</v>
      </c>
      <c r="C122" s="1" t="s">
        <v>165</v>
      </c>
      <c r="D122" s="17">
        <v>111</v>
      </c>
      <c r="E122" s="17">
        <v>115</v>
      </c>
      <c r="F122" s="17">
        <v>120</v>
      </c>
      <c r="G122" s="17">
        <v>115</v>
      </c>
      <c r="H122" s="48">
        <f t="shared" si="50"/>
        <v>120</v>
      </c>
      <c r="I122" s="48">
        <f t="shared" si="38"/>
        <v>104.34782608695653</v>
      </c>
      <c r="J122" s="17">
        <v>120</v>
      </c>
      <c r="K122" s="48">
        <f t="shared" si="39"/>
        <v>100</v>
      </c>
      <c r="L122" s="3"/>
      <c r="N122" s="228">
        <f t="shared" si="40"/>
        <v>100</v>
      </c>
    </row>
    <row r="123" spans="1:14" ht="21" hidden="1" customHeight="1">
      <c r="A123" s="8" t="s">
        <v>25</v>
      </c>
      <c r="B123" s="12" t="s">
        <v>108</v>
      </c>
      <c r="C123" s="1"/>
      <c r="D123" s="49"/>
      <c r="E123" s="49"/>
      <c r="F123" s="49"/>
      <c r="G123" s="49"/>
      <c r="H123" s="49"/>
      <c r="I123" s="53" t="str">
        <f t="shared" si="38"/>
        <v/>
      </c>
      <c r="J123" s="49"/>
      <c r="K123" s="53" t="str">
        <f t="shared" si="39"/>
        <v/>
      </c>
      <c r="L123" s="3"/>
      <c r="N123" s="228" t="str">
        <f t="shared" si="40"/>
        <v/>
      </c>
    </row>
    <row r="124" spans="1:14" ht="29.25" hidden="1" customHeight="1">
      <c r="A124" s="50">
        <v>1</v>
      </c>
      <c r="B124" s="51" t="s">
        <v>150</v>
      </c>
      <c r="C124" s="1" t="s">
        <v>16</v>
      </c>
      <c r="D124" s="54" t="s">
        <v>153</v>
      </c>
      <c r="E124" s="74">
        <f>D125-E125</f>
        <v>3.1799999999999997</v>
      </c>
      <c r="F124" s="54">
        <v>3</v>
      </c>
      <c r="G124" s="54"/>
      <c r="H124" s="54">
        <v>3</v>
      </c>
      <c r="I124" s="48">
        <f t="shared" si="38"/>
        <v>94.33962264150945</v>
      </c>
      <c r="J124" s="54">
        <v>3</v>
      </c>
      <c r="K124" s="48">
        <f t="shared" si="39"/>
        <v>100</v>
      </c>
      <c r="L124" s="3"/>
      <c r="N124" s="228">
        <f t="shared" si="40"/>
        <v>100</v>
      </c>
    </row>
    <row r="125" spans="1:14" ht="21" hidden="1" customHeight="1">
      <c r="A125" s="50">
        <v>2</v>
      </c>
      <c r="B125" s="51" t="s">
        <v>163</v>
      </c>
      <c r="C125" s="1" t="s">
        <v>16</v>
      </c>
      <c r="D125" s="66">
        <v>17.32</v>
      </c>
      <c r="E125" s="66">
        <v>14.14</v>
      </c>
      <c r="F125" s="66">
        <f>E125-3</f>
        <v>11.14</v>
      </c>
      <c r="G125" s="66"/>
      <c r="H125" s="66">
        <f>F125</f>
        <v>11.14</v>
      </c>
      <c r="I125" s="48">
        <f t="shared" si="38"/>
        <v>78.783592644978782</v>
      </c>
      <c r="J125" s="66">
        <f>H125-3</f>
        <v>8.14</v>
      </c>
      <c r="K125" s="48">
        <f t="shared" si="39"/>
        <v>73.070017953321369</v>
      </c>
      <c r="L125" s="3"/>
      <c r="M125" s="75"/>
      <c r="N125" s="228">
        <f t="shared" si="40"/>
        <v>100</v>
      </c>
    </row>
    <row r="126" spans="1:14" s="15" customFormat="1" ht="20.25" hidden="1" customHeight="1">
      <c r="A126" s="8" t="s">
        <v>26</v>
      </c>
      <c r="B126" s="12" t="s">
        <v>0</v>
      </c>
      <c r="C126" s="8"/>
      <c r="D126" s="126"/>
      <c r="E126" s="126"/>
      <c r="F126" s="126"/>
      <c r="G126" s="126"/>
      <c r="H126" s="126"/>
      <c r="I126" s="53" t="str">
        <f t="shared" si="38"/>
        <v/>
      </c>
      <c r="J126" s="126"/>
      <c r="K126" s="53" t="str">
        <f t="shared" si="39"/>
        <v/>
      </c>
      <c r="L126" s="69"/>
      <c r="N126" s="228" t="str">
        <f t="shared" si="40"/>
        <v/>
      </c>
    </row>
    <row r="127" spans="1:14" ht="23.25" hidden="1" customHeight="1">
      <c r="A127" s="1">
        <v>1</v>
      </c>
      <c r="B127" s="17" t="s">
        <v>157</v>
      </c>
      <c r="C127" s="1" t="s">
        <v>1</v>
      </c>
      <c r="D127" s="26">
        <f>SUM(D128:D134)</f>
        <v>13999</v>
      </c>
      <c r="E127" s="26">
        <f>SUM(E128:E134)</f>
        <v>14102</v>
      </c>
      <c r="F127" s="26">
        <f>F128+F132+F133+F134</f>
        <v>14530</v>
      </c>
      <c r="G127" s="26">
        <f t="shared" ref="G127:H127" si="51">G128+G132+G133+G134</f>
        <v>14536</v>
      </c>
      <c r="H127" s="26">
        <f t="shared" si="51"/>
        <v>14495</v>
      </c>
      <c r="I127" s="48">
        <f t="shared" si="38"/>
        <v>102.78683874627711</v>
      </c>
      <c r="J127" s="26">
        <f>J128+J132+J133+J134</f>
        <v>15108</v>
      </c>
      <c r="K127" s="48">
        <f t="shared" si="39"/>
        <v>104.22904449810281</v>
      </c>
      <c r="L127" s="3"/>
      <c r="N127" s="228">
        <f t="shared" si="40"/>
        <v>99.759119064005503</v>
      </c>
    </row>
    <row r="128" spans="1:14" ht="21" hidden="1" customHeight="1">
      <c r="A128" s="1" t="s">
        <v>308</v>
      </c>
      <c r="B128" s="17" t="s">
        <v>83</v>
      </c>
      <c r="C128" s="1" t="s">
        <v>1</v>
      </c>
      <c r="D128" s="76">
        <v>4325</v>
      </c>
      <c r="E128" s="76">
        <v>4401</v>
      </c>
      <c r="F128" s="76">
        <f>F129+F131</f>
        <v>4430</v>
      </c>
      <c r="G128" s="76">
        <f>G129+G131</f>
        <v>4480</v>
      </c>
      <c r="H128" s="76">
        <v>4476</v>
      </c>
      <c r="I128" s="48">
        <f t="shared" si="38"/>
        <v>101.70415814587594</v>
      </c>
      <c r="J128" s="76">
        <v>4546</v>
      </c>
      <c r="K128" s="48">
        <f t="shared" si="39"/>
        <v>101.56389633601431</v>
      </c>
      <c r="L128" s="3"/>
      <c r="M128" s="67"/>
      <c r="N128" s="228">
        <f t="shared" si="40"/>
        <v>101.03837471783297</v>
      </c>
    </row>
    <row r="129" spans="1:14" s="34" customFormat="1" ht="21" hidden="1" customHeight="1" outlineLevel="1">
      <c r="A129" s="31"/>
      <c r="B129" s="17" t="s">
        <v>458</v>
      </c>
      <c r="C129" s="1" t="s">
        <v>2</v>
      </c>
      <c r="D129" s="77"/>
      <c r="E129" s="76"/>
      <c r="F129" s="76">
        <v>450</v>
      </c>
      <c r="G129" s="76">
        <v>516</v>
      </c>
      <c r="H129" s="76">
        <v>516</v>
      </c>
      <c r="I129" s="48" t="str">
        <f t="shared" si="38"/>
        <v/>
      </c>
      <c r="J129" s="76">
        <v>520</v>
      </c>
      <c r="K129" s="48">
        <f t="shared" si="39"/>
        <v>100.77519379844961</v>
      </c>
      <c r="L129" s="70"/>
      <c r="M129" s="68"/>
      <c r="N129" s="228">
        <f t="shared" si="40"/>
        <v>114.66666666666667</v>
      </c>
    </row>
    <row r="130" spans="1:14" s="34" customFormat="1" ht="21" hidden="1" customHeight="1" outlineLevel="1">
      <c r="A130" s="31"/>
      <c r="B130" s="17" t="s">
        <v>459</v>
      </c>
      <c r="C130" s="1" t="s">
        <v>2</v>
      </c>
      <c r="D130" s="77"/>
      <c r="E130" s="76"/>
      <c r="F130" s="76">
        <v>350</v>
      </c>
      <c r="G130" s="76">
        <v>365</v>
      </c>
      <c r="H130" s="76">
        <v>365</v>
      </c>
      <c r="I130" s="48" t="str">
        <f t="shared" si="38"/>
        <v/>
      </c>
      <c r="J130" s="76">
        <v>361</v>
      </c>
      <c r="K130" s="48">
        <f t="shared" si="39"/>
        <v>98.904109589041099</v>
      </c>
      <c r="L130" s="70"/>
      <c r="M130" s="68"/>
      <c r="N130" s="228">
        <f t="shared" si="40"/>
        <v>104.28571428571429</v>
      </c>
    </row>
    <row r="131" spans="1:14" s="34" customFormat="1" ht="21" hidden="1" customHeight="1" outlineLevel="1">
      <c r="A131" s="31" t="s">
        <v>308</v>
      </c>
      <c r="B131" s="17" t="s">
        <v>85</v>
      </c>
      <c r="C131" s="1" t="s">
        <v>2</v>
      </c>
      <c r="D131" s="77"/>
      <c r="E131" s="76"/>
      <c r="F131" s="76">
        <v>3980</v>
      </c>
      <c r="G131" s="76">
        <v>3964</v>
      </c>
      <c r="H131" s="76">
        <v>3960</v>
      </c>
      <c r="I131" s="48" t="str">
        <f t="shared" ref="I131:I179" si="52">IFERROR(H131/E131%,"")</f>
        <v/>
      </c>
      <c r="J131" s="76">
        <v>4026</v>
      </c>
      <c r="K131" s="48">
        <f t="shared" ref="K131:K179" si="53">IFERROR(J131/H131%,"")</f>
        <v>101.66666666666666</v>
      </c>
      <c r="L131" s="70"/>
      <c r="M131" s="68"/>
      <c r="N131" s="228">
        <f t="shared" si="40"/>
        <v>99.497487437185939</v>
      </c>
    </row>
    <row r="132" spans="1:14" ht="21" hidden="1" customHeight="1" collapsed="1">
      <c r="A132" s="1" t="s">
        <v>308</v>
      </c>
      <c r="B132" s="17" t="s">
        <v>104</v>
      </c>
      <c r="C132" s="1" t="s">
        <v>1</v>
      </c>
      <c r="D132" s="76">
        <v>5412</v>
      </c>
      <c r="E132" s="76">
        <v>5400</v>
      </c>
      <c r="F132" s="76">
        <v>5700</v>
      </c>
      <c r="G132" s="76">
        <v>5691</v>
      </c>
      <c r="H132" s="76">
        <v>5682</v>
      </c>
      <c r="I132" s="48">
        <f t="shared" si="52"/>
        <v>105.22222222222223</v>
      </c>
      <c r="J132" s="76">
        <v>6079</v>
      </c>
      <c r="K132" s="48">
        <f t="shared" si="53"/>
        <v>106.98697641675466</v>
      </c>
      <c r="L132" s="3"/>
      <c r="M132" s="67"/>
      <c r="N132" s="228">
        <f t="shared" si="40"/>
        <v>99.684210526315795</v>
      </c>
    </row>
    <row r="133" spans="1:14" ht="21" hidden="1" customHeight="1">
      <c r="A133" s="1" t="s">
        <v>308</v>
      </c>
      <c r="B133" s="17" t="s">
        <v>105</v>
      </c>
      <c r="C133" s="1" t="s">
        <v>1</v>
      </c>
      <c r="D133" s="76">
        <v>3521</v>
      </c>
      <c r="E133" s="76">
        <v>3560</v>
      </c>
      <c r="F133" s="76">
        <v>3570</v>
      </c>
      <c r="G133" s="76">
        <v>3558</v>
      </c>
      <c r="H133" s="76">
        <f>3457+73</f>
        <v>3530</v>
      </c>
      <c r="I133" s="48">
        <f t="shared" si="52"/>
        <v>99.157303370786508</v>
      </c>
      <c r="J133" s="76">
        <v>3653</v>
      </c>
      <c r="K133" s="48">
        <f t="shared" si="53"/>
        <v>103.4844192634561</v>
      </c>
      <c r="L133" s="3"/>
      <c r="N133" s="228">
        <f t="shared" ref="N133:N179" si="54">IFERROR(H133/F133%,"")</f>
        <v>98.879551820728281</v>
      </c>
    </row>
    <row r="134" spans="1:14" ht="21" hidden="1" customHeight="1">
      <c r="A134" s="1" t="s">
        <v>308</v>
      </c>
      <c r="B134" s="17" t="s">
        <v>137</v>
      </c>
      <c r="C134" s="1" t="s">
        <v>1</v>
      </c>
      <c r="D134" s="76">
        <v>741</v>
      </c>
      <c r="E134" s="76">
        <v>741</v>
      </c>
      <c r="F134" s="76">
        <v>830</v>
      </c>
      <c r="G134" s="76">
        <v>807</v>
      </c>
      <c r="H134" s="76">
        <v>807</v>
      </c>
      <c r="I134" s="48">
        <f t="shared" si="52"/>
        <v>108.90688259109312</v>
      </c>
      <c r="J134" s="76">
        <v>830</v>
      </c>
      <c r="K134" s="48">
        <f t="shared" si="53"/>
        <v>102.85006195786865</v>
      </c>
      <c r="L134" s="3"/>
      <c r="M134" s="67"/>
      <c r="N134" s="228">
        <f t="shared" si="54"/>
        <v>97.228915662650593</v>
      </c>
    </row>
    <row r="135" spans="1:14" s="88" customFormat="1" ht="22.5" hidden="1" customHeight="1" outlineLevel="1">
      <c r="A135" s="84"/>
      <c r="B135" s="85" t="s">
        <v>166</v>
      </c>
      <c r="C135" s="84"/>
      <c r="D135" s="86">
        <f t="shared" ref="D135:J135" si="55">SUM(D137:D141)</f>
        <v>37</v>
      </c>
      <c r="E135" s="86">
        <f t="shared" si="55"/>
        <v>38</v>
      </c>
      <c r="F135" s="86">
        <f t="shared" si="55"/>
        <v>38</v>
      </c>
      <c r="G135" s="86">
        <f t="shared" si="55"/>
        <v>38</v>
      </c>
      <c r="H135" s="86">
        <f t="shared" si="55"/>
        <v>38</v>
      </c>
      <c r="I135" s="87">
        <f t="shared" si="52"/>
        <v>100</v>
      </c>
      <c r="J135" s="86">
        <f t="shared" si="55"/>
        <v>38</v>
      </c>
      <c r="K135" s="87">
        <f t="shared" si="53"/>
        <v>100</v>
      </c>
      <c r="L135" s="111"/>
      <c r="N135" s="228">
        <f t="shared" si="54"/>
        <v>100</v>
      </c>
    </row>
    <row r="136" spans="1:14" s="88" customFormat="1" ht="22.5" hidden="1" customHeight="1" outlineLevel="1">
      <c r="A136" s="84"/>
      <c r="B136" s="89" t="s">
        <v>136</v>
      </c>
      <c r="C136" s="84"/>
      <c r="D136" s="86"/>
      <c r="E136" s="86"/>
      <c r="F136" s="86"/>
      <c r="G136" s="86"/>
      <c r="H136" s="86"/>
      <c r="I136" s="87" t="str">
        <f t="shared" si="52"/>
        <v/>
      </c>
      <c r="J136" s="86"/>
      <c r="K136" s="87" t="str">
        <f t="shared" si="53"/>
        <v/>
      </c>
      <c r="L136" s="111"/>
      <c r="N136" s="228" t="str">
        <f t="shared" si="54"/>
        <v/>
      </c>
    </row>
    <row r="137" spans="1:14" s="88" customFormat="1" ht="22.5" hidden="1" customHeight="1" outlineLevel="1">
      <c r="A137" s="84"/>
      <c r="B137" s="85" t="s">
        <v>138</v>
      </c>
      <c r="C137" s="84" t="s">
        <v>62</v>
      </c>
      <c r="D137" s="86">
        <v>13</v>
      </c>
      <c r="E137" s="86">
        <v>13</v>
      </c>
      <c r="F137" s="86">
        <f t="shared" ref="F137:H141" si="56">E137</f>
        <v>13</v>
      </c>
      <c r="G137" s="86">
        <f t="shared" si="56"/>
        <v>13</v>
      </c>
      <c r="H137" s="86">
        <f t="shared" si="56"/>
        <v>13</v>
      </c>
      <c r="I137" s="87">
        <f t="shared" si="52"/>
        <v>100</v>
      </c>
      <c r="J137" s="86">
        <f>E137</f>
        <v>13</v>
      </c>
      <c r="K137" s="87">
        <f t="shared" si="53"/>
        <v>100</v>
      </c>
      <c r="L137" s="111"/>
      <c r="N137" s="228">
        <f t="shared" si="54"/>
        <v>100</v>
      </c>
    </row>
    <row r="138" spans="1:14" s="88" customFormat="1" ht="22.5" hidden="1" customHeight="1" outlineLevel="1">
      <c r="A138" s="84"/>
      <c r="B138" s="85" t="s">
        <v>139</v>
      </c>
      <c r="C138" s="84" t="s">
        <v>62</v>
      </c>
      <c r="D138" s="86">
        <v>13</v>
      </c>
      <c r="E138" s="86">
        <v>14</v>
      </c>
      <c r="F138" s="86">
        <f t="shared" si="56"/>
        <v>14</v>
      </c>
      <c r="G138" s="86">
        <f t="shared" si="56"/>
        <v>14</v>
      </c>
      <c r="H138" s="86">
        <f t="shared" si="56"/>
        <v>14</v>
      </c>
      <c r="I138" s="87">
        <f t="shared" si="52"/>
        <v>99.999999999999986</v>
      </c>
      <c r="J138" s="86">
        <f>E138</f>
        <v>14</v>
      </c>
      <c r="K138" s="87">
        <f t="shared" si="53"/>
        <v>99.999999999999986</v>
      </c>
      <c r="L138" s="111"/>
      <c r="N138" s="228">
        <f t="shared" si="54"/>
        <v>99.999999999999986</v>
      </c>
    </row>
    <row r="139" spans="1:14" s="88" customFormat="1" ht="22.5" hidden="1" customHeight="1" outlineLevel="1">
      <c r="A139" s="84"/>
      <c r="B139" s="85" t="s">
        <v>140</v>
      </c>
      <c r="C139" s="84" t="s">
        <v>62</v>
      </c>
      <c r="D139" s="86">
        <v>9</v>
      </c>
      <c r="E139" s="86">
        <v>9</v>
      </c>
      <c r="F139" s="86">
        <f t="shared" si="56"/>
        <v>9</v>
      </c>
      <c r="G139" s="86">
        <f t="shared" si="56"/>
        <v>9</v>
      </c>
      <c r="H139" s="86">
        <f t="shared" si="56"/>
        <v>9</v>
      </c>
      <c r="I139" s="87">
        <f t="shared" si="52"/>
        <v>100</v>
      </c>
      <c r="J139" s="86">
        <f>E139</f>
        <v>9</v>
      </c>
      <c r="K139" s="87">
        <f t="shared" si="53"/>
        <v>100</v>
      </c>
      <c r="L139" s="111"/>
      <c r="N139" s="228">
        <f t="shared" si="54"/>
        <v>100</v>
      </c>
    </row>
    <row r="140" spans="1:14" s="88" customFormat="1" ht="22.5" hidden="1" customHeight="1" outlineLevel="1">
      <c r="A140" s="84"/>
      <c r="B140" s="85" t="s">
        <v>141</v>
      </c>
      <c r="C140" s="84" t="s">
        <v>62</v>
      </c>
      <c r="D140" s="86">
        <v>1</v>
      </c>
      <c r="E140" s="86">
        <v>1</v>
      </c>
      <c r="F140" s="86">
        <f t="shared" si="56"/>
        <v>1</v>
      </c>
      <c r="G140" s="86">
        <f t="shared" si="56"/>
        <v>1</v>
      </c>
      <c r="H140" s="86">
        <f t="shared" si="56"/>
        <v>1</v>
      </c>
      <c r="I140" s="87">
        <f t="shared" si="52"/>
        <v>100</v>
      </c>
      <c r="J140" s="86">
        <f>E140</f>
        <v>1</v>
      </c>
      <c r="K140" s="87">
        <f t="shared" si="53"/>
        <v>100</v>
      </c>
      <c r="L140" s="111"/>
      <c r="N140" s="228">
        <f t="shared" si="54"/>
        <v>100</v>
      </c>
    </row>
    <row r="141" spans="1:14" s="88" customFormat="1" ht="22.5" hidden="1" customHeight="1" outlineLevel="1">
      <c r="A141" s="84"/>
      <c r="B141" s="85" t="s">
        <v>142</v>
      </c>
      <c r="C141" s="84" t="s">
        <v>62</v>
      </c>
      <c r="D141" s="86">
        <v>1</v>
      </c>
      <c r="E141" s="86">
        <v>1</v>
      </c>
      <c r="F141" s="86">
        <f t="shared" si="56"/>
        <v>1</v>
      </c>
      <c r="G141" s="86">
        <f t="shared" si="56"/>
        <v>1</v>
      </c>
      <c r="H141" s="86">
        <f t="shared" si="56"/>
        <v>1</v>
      </c>
      <c r="I141" s="87">
        <f t="shared" si="52"/>
        <v>100</v>
      </c>
      <c r="J141" s="86">
        <f>E141</f>
        <v>1</v>
      </c>
      <c r="K141" s="87">
        <f t="shared" si="53"/>
        <v>100</v>
      </c>
      <c r="L141" s="111"/>
      <c r="N141" s="228">
        <f t="shared" si="54"/>
        <v>100</v>
      </c>
    </row>
    <row r="142" spans="1:14" s="88" customFormat="1" ht="22.5" hidden="1" customHeight="1" outlineLevel="1">
      <c r="A142" s="84"/>
      <c r="B142" s="85" t="s">
        <v>143</v>
      </c>
      <c r="C142" s="84" t="s">
        <v>62</v>
      </c>
      <c r="D142" s="86">
        <f t="shared" ref="D142:J142" si="57">SUM(D144:D148)</f>
        <v>20</v>
      </c>
      <c r="E142" s="86">
        <f t="shared" si="57"/>
        <v>21</v>
      </c>
      <c r="F142" s="86">
        <f t="shared" si="57"/>
        <v>25</v>
      </c>
      <c r="G142" s="86">
        <f t="shared" ref="G142:H142" si="58">SUM(G144:G148)</f>
        <v>21</v>
      </c>
      <c r="H142" s="86">
        <f t="shared" si="58"/>
        <v>21</v>
      </c>
      <c r="I142" s="87">
        <f t="shared" si="52"/>
        <v>100</v>
      </c>
      <c r="J142" s="86">
        <f t="shared" si="57"/>
        <v>24</v>
      </c>
      <c r="K142" s="87">
        <f t="shared" si="53"/>
        <v>114.28571428571429</v>
      </c>
      <c r="L142" s="111"/>
      <c r="N142" s="228">
        <f t="shared" si="54"/>
        <v>84</v>
      </c>
    </row>
    <row r="143" spans="1:14" s="88" customFormat="1" ht="22.5" hidden="1" customHeight="1" outlineLevel="1">
      <c r="A143" s="84"/>
      <c r="B143" s="89" t="s">
        <v>136</v>
      </c>
      <c r="C143" s="84"/>
      <c r="D143" s="86"/>
      <c r="E143" s="86"/>
      <c r="F143" s="86"/>
      <c r="G143" s="86"/>
      <c r="H143" s="86"/>
      <c r="I143" s="87" t="str">
        <f t="shared" si="52"/>
        <v/>
      </c>
      <c r="J143" s="86"/>
      <c r="K143" s="87" t="str">
        <f t="shared" si="53"/>
        <v/>
      </c>
      <c r="L143" s="111"/>
      <c r="N143" s="228" t="str">
        <f t="shared" si="54"/>
        <v/>
      </c>
    </row>
    <row r="144" spans="1:14" s="88" customFormat="1" ht="22.5" hidden="1" customHeight="1" outlineLevel="1">
      <c r="A144" s="84"/>
      <c r="B144" s="85" t="s">
        <v>138</v>
      </c>
      <c r="C144" s="84" t="s">
        <v>62</v>
      </c>
      <c r="D144" s="86">
        <v>5</v>
      </c>
      <c r="E144" s="86">
        <v>6</v>
      </c>
      <c r="F144" s="86">
        <v>8</v>
      </c>
      <c r="G144" s="86">
        <v>6</v>
      </c>
      <c r="H144" s="86">
        <v>6</v>
      </c>
      <c r="I144" s="87">
        <f t="shared" si="52"/>
        <v>100</v>
      </c>
      <c r="J144" s="86">
        <v>7</v>
      </c>
      <c r="K144" s="87">
        <f t="shared" si="53"/>
        <v>116.66666666666667</v>
      </c>
      <c r="L144" s="111"/>
      <c r="N144" s="228">
        <f t="shared" si="54"/>
        <v>75</v>
      </c>
    </row>
    <row r="145" spans="1:14" s="88" customFormat="1" ht="22.5" hidden="1" customHeight="1" outlineLevel="1">
      <c r="A145" s="84"/>
      <c r="B145" s="85" t="s">
        <v>139</v>
      </c>
      <c r="C145" s="84" t="s">
        <v>62</v>
      </c>
      <c r="D145" s="86">
        <v>9</v>
      </c>
      <c r="E145" s="86">
        <v>9</v>
      </c>
      <c r="F145" s="86">
        <v>10</v>
      </c>
      <c r="G145" s="86">
        <v>9</v>
      </c>
      <c r="H145" s="86">
        <v>9</v>
      </c>
      <c r="I145" s="87">
        <f t="shared" si="52"/>
        <v>100</v>
      </c>
      <c r="J145" s="86">
        <v>10</v>
      </c>
      <c r="K145" s="87">
        <f t="shared" si="53"/>
        <v>111.11111111111111</v>
      </c>
      <c r="L145" s="111"/>
      <c r="N145" s="228">
        <f t="shared" si="54"/>
        <v>90</v>
      </c>
    </row>
    <row r="146" spans="1:14" s="88" customFormat="1" ht="22.5" hidden="1" customHeight="1" outlineLevel="1">
      <c r="A146" s="84"/>
      <c r="B146" s="85" t="s">
        <v>140</v>
      </c>
      <c r="C146" s="84" t="s">
        <v>62</v>
      </c>
      <c r="D146" s="86">
        <v>4</v>
      </c>
      <c r="E146" s="86">
        <v>4</v>
      </c>
      <c r="F146" s="86">
        <v>5</v>
      </c>
      <c r="G146" s="86">
        <v>4</v>
      </c>
      <c r="H146" s="86">
        <v>4</v>
      </c>
      <c r="I146" s="87">
        <f t="shared" si="52"/>
        <v>100</v>
      </c>
      <c r="J146" s="86">
        <v>5</v>
      </c>
      <c r="K146" s="87">
        <f t="shared" si="53"/>
        <v>125</v>
      </c>
      <c r="L146" s="111"/>
      <c r="N146" s="228">
        <f t="shared" si="54"/>
        <v>80</v>
      </c>
    </row>
    <row r="147" spans="1:14" s="88" customFormat="1" ht="22.5" hidden="1" customHeight="1" outlineLevel="1">
      <c r="A147" s="84"/>
      <c r="B147" s="85" t="s">
        <v>141</v>
      </c>
      <c r="C147" s="84" t="s">
        <v>62</v>
      </c>
      <c r="D147" s="86">
        <v>1</v>
      </c>
      <c r="E147" s="86">
        <v>1</v>
      </c>
      <c r="F147" s="86">
        <v>1</v>
      </c>
      <c r="G147" s="86">
        <v>1</v>
      </c>
      <c r="H147" s="86">
        <v>1</v>
      </c>
      <c r="I147" s="87">
        <f t="shared" si="52"/>
        <v>100</v>
      </c>
      <c r="J147" s="86">
        <v>1</v>
      </c>
      <c r="K147" s="87">
        <f t="shared" si="53"/>
        <v>100</v>
      </c>
      <c r="L147" s="111"/>
      <c r="N147" s="228">
        <f t="shared" si="54"/>
        <v>100</v>
      </c>
    </row>
    <row r="148" spans="1:14" s="88" customFormat="1" ht="22.5" hidden="1" customHeight="1" outlineLevel="1">
      <c r="A148" s="84"/>
      <c r="B148" s="85" t="s">
        <v>142</v>
      </c>
      <c r="C148" s="84" t="s">
        <v>62</v>
      </c>
      <c r="D148" s="86">
        <v>1</v>
      </c>
      <c r="E148" s="86">
        <v>1</v>
      </c>
      <c r="F148" s="86">
        <v>1</v>
      </c>
      <c r="G148" s="86">
        <v>1</v>
      </c>
      <c r="H148" s="86">
        <v>1</v>
      </c>
      <c r="I148" s="87">
        <f t="shared" si="52"/>
        <v>100</v>
      </c>
      <c r="J148" s="86">
        <v>1</v>
      </c>
      <c r="K148" s="87">
        <f t="shared" si="53"/>
        <v>100</v>
      </c>
      <c r="L148" s="111"/>
      <c r="N148" s="228">
        <f t="shared" si="54"/>
        <v>100</v>
      </c>
    </row>
    <row r="149" spans="1:14" ht="22.5" hidden="1" customHeight="1" collapsed="1">
      <c r="A149" s="1">
        <v>2</v>
      </c>
      <c r="B149" s="17" t="s">
        <v>63</v>
      </c>
      <c r="C149" s="1" t="s">
        <v>16</v>
      </c>
      <c r="D149" s="61">
        <f t="shared" ref="D149:J149" si="59">D142/D135%</f>
        <v>54.054054054054056</v>
      </c>
      <c r="E149" s="61">
        <f t="shared" si="59"/>
        <v>55.263157894736842</v>
      </c>
      <c r="F149" s="61">
        <f t="shared" si="59"/>
        <v>65.78947368421052</v>
      </c>
      <c r="G149" s="61">
        <f t="shared" si="59"/>
        <v>55.263157894736842</v>
      </c>
      <c r="H149" s="61">
        <f t="shared" si="59"/>
        <v>55.263157894736842</v>
      </c>
      <c r="I149" s="48">
        <f t="shared" si="52"/>
        <v>99.999999999999986</v>
      </c>
      <c r="J149" s="61">
        <f t="shared" si="59"/>
        <v>63.157894736842103</v>
      </c>
      <c r="K149" s="48">
        <f t="shared" si="53"/>
        <v>114.28571428571426</v>
      </c>
      <c r="L149" s="3"/>
      <c r="N149" s="228">
        <f t="shared" si="54"/>
        <v>84.000000000000014</v>
      </c>
    </row>
    <row r="150" spans="1:14" ht="22.5" hidden="1" customHeight="1" outlineLevel="1">
      <c r="A150" s="1"/>
      <c r="B150" s="27" t="s">
        <v>136</v>
      </c>
      <c r="C150" s="1"/>
      <c r="D150" s="45"/>
      <c r="E150" s="45"/>
      <c r="F150" s="45"/>
      <c r="G150" s="45"/>
      <c r="H150" s="45"/>
      <c r="I150" s="48" t="str">
        <f t="shared" si="52"/>
        <v/>
      </c>
      <c r="J150" s="45"/>
      <c r="K150" s="48" t="str">
        <f t="shared" si="53"/>
        <v/>
      </c>
      <c r="L150" s="3"/>
      <c r="N150" s="228" t="str">
        <f t="shared" si="54"/>
        <v/>
      </c>
    </row>
    <row r="151" spans="1:14" ht="22.5" hidden="1" customHeight="1" outlineLevel="1">
      <c r="A151" s="1"/>
      <c r="B151" s="17" t="s">
        <v>138</v>
      </c>
      <c r="C151" s="1" t="s">
        <v>16</v>
      </c>
      <c r="D151" s="45">
        <f t="shared" ref="D151:J155" si="60">D144/D137%</f>
        <v>38.46153846153846</v>
      </c>
      <c r="E151" s="45">
        <f t="shared" si="60"/>
        <v>46.153846153846153</v>
      </c>
      <c r="F151" s="45">
        <f t="shared" si="60"/>
        <v>61.538461538461533</v>
      </c>
      <c r="G151" s="45">
        <f t="shared" si="60"/>
        <v>46.153846153846153</v>
      </c>
      <c r="H151" s="45">
        <f t="shared" si="60"/>
        <v>46.153846153846153</v>
      </c>
      <c r="I151" s="48">
        <f t="shared" si="52"/>
        <v>100</v>
      </c>
      <c r="J151" s="45">
        <f t="shared" si="60"/>
        <v>53.846153846153847</v>
      </c>
      <c r="K151" s="48">
        <f t="shared" si="53"/>
        <v>116.66666666666667</v>
      </c>
      <c r="L151" s="3"/>
      <c r="N151" s="228">
        <f t="shared" si="54"/>
        <v>75.000000000000014</v>
      </c>
    </row>
    <row r="152" spans="1:14" ht="22.5" hidden="1" customHeight="1" outlineLevel="1">
      <c r="A152" s="1"/>
      <c r="B152" s="17" t="s">
        <v>139</v>
      </c>
      <c r="C152" s="1" t="s">
        <v>16</v>
      </c>
      <c r="D152" s="45">
        <f t="shared" si="60"/>
        <v>69.230769230769226</v>
      </c>
      <c r="E152" s="45">
        <f t="shared" si="60"/>
        <v>64.285714285714278</v>
      </c>
      <c r="F152" s="45">
        <f t="shared" si="60"/>
        <v>71.428571428571416</v>
      </c>
      <c r="G152" s="45">
        <f t="shared" si="60"/>
        <v>64.285714285714278</v>
      </c>
      <c r="H152" s="45">
        <f t="shared" si="60"/>
        <v>64.285714285714278</v>
      </c>
      <c r="I152" s="48">
        <f t="shared" si="52"/>
        <v>100</v>
      </c>
      <c r="J152" s="45">
        <f t="shared" si="60"/>
        <v>71.428571428571416</v>
      </c>
      <c r="K152" s="48">
        <f t="shared" si="53"/>
        <v>111.1111111111111</v>
      </c>
      <c r="L152" s="3"/>
      <c r="N152" s="228">
        <f t="shared" si="54"/>
        <v>90</v>
      </c>
    </row>
    <row r="153" spans="1:14" ht="22.5" hidden="1" customHeight="1" outlineLevel="1">
      <c r="A153" s="1"/>
      <c r="B153" s="17" t="s">
        <v>140</v>
      </c>
      <c r="C153" s="1" t="s">
        <v>16</v>
      </c>
      <c r="D153" s="45">
        <f t="shared" si="60"/>
        <v>44.444444444444443</v>
      </c>
      <c r="E153" s="45">
        <f t="shared" si="60"/>
        <v>44.444444444444443</v>
      </c>
      <c r="F153" s="45">
        <f t="shared" si="60"/>
        <v>55.555555555555557</v>
      </c>
      <c r="G153" s="45">
        <f t="shared" si="60"/>
        <v>44.444444444444443</v>
      </c>
      <c r="H153" s="45">
        <f t="shared" si="60"/>
        <v>44.444444444444443</v>
      </c>
      <c r="I153" s="48">
        <f t="shared" si="52"/>
        <v>100</v>
      </c>
      <c r="J153" s="45">
        <f t="shared" si="60"/>
        <v>55.555555555555557</v>
      </c>
      <c r="K153" s="48">
        <f t="shared" si="53"/>
        <v>125.00000000000001</v>
      </c>
      <c r="L153" s="3"/>
      <c r="N153" s="228">
        <f t="shared" si="54"/>
        <v>80</v>
      </c>
    </row>
    <row r="154" spans="1:14" ht="22.5" hidden="1" customHeight="1" outlineLevel="1">
      <c r="A154" s="1"/>
      <c r="B154" s="17" t="s">
        <v>141</v>
      </c>
      <c r="C154" s="1" t="s">
        <v>16</v>
      </c>
      <c r="D154" s="45">
        <f t="shared" si="60"/>
        <v>100</v>
      </c>
      <c r="E154" s="45">
        <f t="shared" si="60"/>
        <v>100</v>
      </c>
      <c r="F154" s="45">
        <f t="shared" si="60"/>
        <v>100</v>
      </c>
      <c r="G154" s="45">
        <f t="shared" si="60"/>
        <v>100</v>
      </c>
      <c r="H154" s="45">
        <f t="shared" si="60"/>
        <v>100</v>
      </c>
      <c r="I154" s="48">
        <f t="shared" si="52"/>
        <v>100</v>
      </c>
      <c r="J154" s="45">
        <f t="shared" si="60"/>
        <v>100</v>
      </c>
      <c r="K154" s="48">
        <f t="shared" si="53"/>
        <v>100</v>
      </c>
      <c r="L154" s="3"/>
      <c r="N154" s="228">
        <f t="shared" si="54"/>
        <v>100</v>
      </c>
    </row>
    <row r="155" spans="1:14" ht="22.5" hidden="1" customHeight="1" outlineLevel="1">
      <c r="A155" s="1"/>
      <c r="B155" s="17" t="s">
        <v>142</v>
      </c>
      <c r="C155" s="1" t="s">
        <v>16</v>
      </c>
      <c r="D155" s="45">
        <f t="shared" si="60"/>
        <v>100</v>
      </c>
      <c r="E155" s="45">
        <f t="shared" si="60"/>
        <v>100</v>
      </c>
      <c r="F155" s="45">
        <f t="shared" si="60"/>
        <v>100</v>
      </c>
      <c r="G155" s="45">
        <f t="shared" si="60"/>
        <v>100</v>
      </c>
      <c r="H155" s="45">
        <f t="shared" si="60"/>
        <v>100</v>
      </c>
      <c r="I155" s="48">
        <f t="shared" si="52"/>
        <v>100</v>
      </c>
      <c r="J155" s="45">
        <f t="shared" si="60"/>
        <v>100</v>
      </c>
      <c r="K155" s="48">
        <f t="shared" si="53"/>
        <v>100</v>
      </c>
      <c r="L155" s="3"/>
      <c r="N155" s="228">
        <f t="shared" si="54"/>
        <v>100</v>
      </c>
    </row>
    <row r="156" spans="1:14" ht="22.5" hidden="1" customHeight="1" collapsed="1">
      <c r="A156" s="1">
        <v>3</v>
      </c>
      <c r="B156" s="38" t="s">
        <v>158</v>
      </c>
      <c r="C156" s="1"/>
      <c r="D156" s="10"/>
      <c r="E156" s="10"/>
      <c r="F156" s="10"/>
      <c r="G156" s="10"/>
      <c r="H156" s="10"/>
      <c r="I156" s="48" t="str">
        <f t="shared" si="52"/>
        <v/>
      </c>
      <c r="J156" s="10"/>
      <c r="K156" s="48" t="str">
        <f t="shared" si="53"/>
        <v/>
      </c>
      <c r="L156" s="3"/>
      <c r="N156" s="228" t="str">
        <f t="shared" si="54"/>
        <v/>
      </c>
    </row>
    <row r="157" spans="1:14" ht="22.5" hidden="1" customHeight="1">
      <c r="A157" s="60" t="s">
        <v>17</v>
      </c>
      <c r="B157" s="55" t="s">
        <v>83</v>
      </c>
      <c r="C157" s="1" t="s">
        <v>16</v>
      </c>
      <c r="D157" s="128"/>
      <c r="E157" s="128"/>
      <c r="F157" s="128"/>
      <c r="G157" s="128"/>
      <c r="H157" s="128"/>
      <c r="I157" s="48" t="str">
        <f t="shared" si="52"/>
        <v/>
      </c>
      <c r="J157" s="128"/>
      <c r="K157" s="48" t="str">
        <f t="shared" si="53"/>
        <v/>
      </c>
      <c r="L157" s="3"/>
      <c r="N157" s="228" t="str">
        <f t="shared" si="54"/>
        <v/>
      </c>
    </row>
    <row r="158" spans="1:14" ht="22.5" hidden="1" customHeight="1">
      <c r="A158" s="60"/>
      <c r="B158" s="57" t="s">
        <v>84</v>
      </c>
      <c r="C158" s="1" t="s">
        <v>16</v>
      </c>
      <c r="D158" s="128">
        <v>11.7</v>
      </c>
      <c r="E158" s="128">
        <v>12.1</v>
      </c>
      <c r="F158" s="128">
        <v>12.5</v>
      </c>
      <c r="G158" s="128">
        <v>17.34</v>
      </c>
      <c r="H158" s="128">
        <v>17.34</v>
      </c>
      <c r="I158" s="48">
        <f t="shared" si="52"/>
        <v>143.30578512396696</v>
      </c>
      <c r="J158" s="128">
        <v>17.5</v>
      </c>
      <c r="K158" s="48">
        <f t="shared" si="53"/>
        <v>100.92272202998846</v>
      </c>
      <c r="L158" s="3"/>
      <c r="N158" s="228">
        <f t="shared" si="54"/>
        <v>138.72</v>
      </c>
    </row>
    <row r="159" spans="1:14" ht="22.5" hidden="1" customHeight="1">
      <c r="A159" s="60"/>
      <c r="B159" s="57" t="s">
        <v>85</v>
      </c>
      <c r="C159" s="1" t="s">
        <v>16</v>
      </c>
      <c r="D159" s="128">
        <v>97.9</v>
      </c>
      <c r="E159" s="128">
        <v>97.2</v>
      </c>
      <c r="F159" s="128">
        <v>98</v>
      </c>
      <c r="G159" s="128">
        <v>97.6</v>
      </c>
      <c r="H159" s="128">
        <v>97.6</v>
      </c>
      <c r="I159" s="48">
        <f t="shared" si="52"/>
        <v>100.41152263374485</v>
      </c>
      <c r="J159" s="128">
        <v>98</v>
      </c>
      <c r="K159" s="48">
        <f t="shared" si="53"/>
        <v>100.40983606557377</v>
      </c>
      <c r="L159" s="3"/>
      <c r="N159" s="228">
        <f t="shared" si="54"/>
        <v>99.591836734693871</v>
      </c>
    </row>
    <row r="160" spans="1:14" ht="22.5" hidden="1" customHeight="1">
      <c r="A160" s="60" t="s">
        <v>18</v>
      </c>
      <c r="B160" s="55" t="s">
        <v>104</v>
      </c>
      <c r="C160" s="1" t="s">
        <v>16</v>
      </c>
      <c r="D160" s="128">
        <v>99.9</v>
      </c>
      <c r="E160" s="128">
        <v>100</v>
      </c>
      <c r="F160" s="128">
        <v>100</v>
      </c>
      <c r="G160" s="128">
        <v>100</v>
      </c>
      <c r="H160" s="128">
        <v>100</v>
      </c>
      <c r="I160" s="48">
        <f t="shared" si="52"/>
        <v>100</v>
      </c>
      <c r="J160" s="128">
        <v>100</v>
      </c>
      <c r="K160" s="48">
        <f t="shared" si="53"/>
        <v>100</v>
      </c>
      <c r="L160" s="3"/>
      <c r="N160" s="228">
        <f t="shared" si="54"/>
        <v>100</v>
      </c>
    </row>
    <row r="161" spans="1:14" ht="22.5" hidden="1" customHeight="1">
      <c r="A161" s="60" t="s">
        <v>19</v>
      </c>
      <c r="B161" s="55" t="s">
        <v>159</v>
      </c>
      <c r="C161" s="1" t="s">
        <v>16</v>
      </c>
      <c r="D161" s="128">
        <v>96.2</v>
      </c>
      <c r="E161" s="128">
        <v>99.8</v>
      </c>
      <c r="F161" s="128">
        <v>100</v>
      </c>
      <c r="G161" s="128">
        <v>99.8</v>
      </c>
      <c r="H161" s="128">
        <v>99.9</v>
      </c>
      <c r="I161" s="48">
        <f t="shared" si="52"/>
        <v>100.10020040080161</v>
      </c>
      <c r="J161" s="128">
        <v>99.9</v>
      </c>
      <c r="K161" s="48">
        <f t="shared" si="53"/>
        <v>100</v>
      </c>
      <c r="L161" s="3"/>
      <c r="N161" s="228">
        <f t="shared" si="54"/>
        <v>99.9</v>
      </c>
    </row>
    <row r="162" spans="1:14" ht="22.5" hidden="1" customHeight="1">
      <c r="A162" s="8" t="s">
        <v>28</v>
      </c>
      <c r="B162" s="12" t="s">
        <v>145</v>
      </c>
      <c r="C162" s="1"/>
      <c r="D162" s="10"/>
      <c r="E162" s="10"/>
      <c r="F162" s="10"/>
      <c r="G162" s="10"/>
      <c r="H162" s="10"/>
      <c r="I162" s="53" t="str">
        <f t="shared" si="52"/>
        <v/>
      </c>
      <c r="J162" s="10"/>
      <c r="K162" s="53" t="str">
        <f t="shared" si="53"/>
        <v/>
      </c>
      <c r="L162" s="3"/>
      <c r="N162" s="228" t="str">
        <f t="shared" si="54"/>
        <v/>
      </c>
    </row>
    <row r="163" spans="1:14" ht="22.5" hidden="1" customHeight="1">
      <c r="A163" s="1">
        <v>1</v>
      </c>
      <c r="B163" s="17" t="s">
        <v>146</v>
      </c>
      <c r="C163" s="1" t="s">
        <v>64</v>
      </c>
      <c r="D163" s="10">
        <v>130</v>
      </c>
      <c r="E163" s="10">
        <v>130</v>
      </c>
      <c r="F163" s="10">
        <v>135</v>
      </c>
      <c r="G163" s="10">
        <v>130</v>
      </c>
      <c r="H163" s="10">
        <v>135</v>
      </c>
      <c r="I163" s="48">
        <f t="shared" si="52"/>
        <v>103.84615384615384</v>
      </c>
      <c r="J163" s="10">
        <v>135</v>
      </c>
      <c r="K163" s="48">
        <f t="shared" si="53"/>
        <v>100</v>
      </c>
      <c r="L163" s="3"/>
      <c r="N163" s="228">
        <f t="shared" si="54"/>
        <v>100</v>
      </c>
    </row>
    <row r="164" spans="1:14" ht="24" hidden="1" customHeight="1">
      <c r="A164" s="1">
        <v>2</v>
      </c>
      <c r="B164" s="17" t="s">
        <v>202</v>
      </c>
      <c r="C164" s="1" t="s">
        <v>144</v>
      </c>
      <c r="D164" s="10">
        <v>2</v>
      </c>
      <c r="E164" s="10">
        <v>4</v>
      </c>
      <c r="F164" s="10">
        <v>7</v>
      </c>
      <c r="G164" s="10">
        <v>4</v>
      </c>
      <c r="H164" s="10">
        <v>7</v>
      </c>
      <c r="I164" s="48">
        <f t="shared" si="52"/>
        <v>175</v>
      </c>
      <c r="J164" s="10">
        <v>8</v>
      </c>
      <c r="K164" s="48">
        <f t="shared" si="53"/>
        <v>114.28571428571428</v>
      </c>
      <c r="L164" s="3"/>
      <c r="N164" s="228">
        <f t="shared" si="54"/>
        <v>99.999999999999986</v>
      </c>
    </row>
    <row r="165" spans="1:14" ht="21" hidden="1" customHeight="1">
      <c r="A165" s="1"/>
      <c r="B165" s="37" t="s">
        <v>203</v>
      </c>
      <c r="C165" s="1" t="s">
        <v>16</v>
      </c>
      <c r="D165" s="45">
        <f t="shared" ref="D165:J165" si="61">D164/9%</f>
        <v>22.222222222222221</v>
      </c>
      <c r="E165" s="45">
        <f t="shared" si="61"/>
        <v>44.444444444444443</v>
      </c>
      <c r="F165" s="45">
        <f t="shared" si="61"/>
        <v>77.777777777777786</v>
      </c>
      <c r="G165" s="45">
        <f t="shared" si="61"/>
        <v>44.444444444444443</v>
      </c>
      <c r="H165" s="45">
        <f t="shared" si="61"/>
        <v>77.777777777777786</v>
      </c>
      <c r="I165" s="48">
        <f t="shared" si="52"/>
        <v>175.00000000000003</v>
      </c>
      <c r="J165" s="45">
        <f t="shared" si="61"/>
        <v>88.888888888888886</v>
      </c>
      <c r="K165" s="48">
        <f t="shared" si="53"/>
        <v>114.28571428571426</v>
      </c>
      <c r="L165" s="3"/>
      <c r="N165" s="228">
        <f t="shared" si="54"/>
        <v>100</v>
      </c>
    </row>
    <row r="166" spans="1:14" ht="21.75" hidden="1" customHeight="1">
      <c r="A166" s="1">
        <v>3</v>
      </c>
      <c r="B166" s="29" t="s">
        <v>82</v>
      </c>
      <c r="C166" s="1" t="s">
        <v>16</v>
      </c>
      <c r="D166" s="45">
        <v>83.5</v>
      </c>
      <c r="E166" s="45">
        <v>85</v>
      </c>
      <c r="F166" s="45">
        <v>90</v>
      </c>
      <c r="G166" s="45"/>
      <c r="H166" s="45">
        <v>86</v>
      </c>
      <c r="I166" s="48">
        <f t="shared" si="52"/>
        <v>101.17647058823529</v>
      </c>
      <c r="J166" s="45">
        <v>91</v>
      </c>
      <c r="K166" s="48">
        <f t="shared" si="53"/>
        <v>105.81395348837209</v>
      </c>
      <c r="L166" s="3"/>
      <c r="N166" s="228">
        <f t="shared" si="54"/>
        <v>95.555555555555557</v>
      </c>
    </row>
    <row r="167" spans="1:14" ht="31.2" hidden="1">
      <c r="A167" s="1">
        <v>4</v>
      </c>
      <c r="B167" s="29" t="s">
        <v>180</v>
      </c>
      <c r="C167" s="1" t="s">
        <v>16</v>
      </c>
      <c r="D167" s="61">
        <v>33.1</v>
      </c>
      <c r="E167" s="45">
        <v>31.8</v>
      </c>
      <c r="F167" s="45">
        <v>31.3</v>
      </c>
      <c r="G167" s="45"/>
      <c r="H167" s="45">
        <f>F167</f>
        <v>31.3</v>
      </c>
      <c r="I167" s="48">
        <f t="shared" si="52"/>
        <v>98.427672955974842</v>
      </c>
      <c r="J167" s="45">
        <v>31</v>
      </c>
      <c r="K167" s="48">
        <f t="shared" si="53"/>
        <v>99.04153354632588</v>
      </c>
      <c r="L167" s="3"/>
      <c r="N167" s="228">
        <f t="shared" si="54"/>
        <v>100</v>
      </c>
    </row>
    <row r="168" spans="1:14" ht="31.2" hidden="1">
      <c r="A168" s="1">
        <v>5</v>
      </c>
      <c r="B168" s="29" t="s">
        <v>181</v>
      </c>
      <c r="C168" s="1" t="s">
        <v>16</v>
      </c>
      <c r="D168" s="61">
        <v>20.6</v>
      </c>
      <c r="E168" s="45">
        <v>20</v>
      </c>
      <c r="F168" s="45">
        <v>19.5</v>
      </c>
      <c r="G168" s="45"/>
      <c r="H168" s="45">
        <f>F168</f>
        <v>19.5</v>
      </c>
      <c r="I168" s="48">
        <f t="shared" si="52"/>
        <v>97.5</v>
      </c>
      <c r="J168" s="45">
        <v>19</v>
      </c>
      <c r="K168" s="48">
        <f t="shared" si="53"/>
        <v>97.435897435897431</v>
      </c>
      <c r="L168" s="3"/>
      <c r="N168" s="228">
        <f t="shared" si="54"/>
        <v>100</v>
      </c>
    </row>
    <row r="169" spans="1:14" ht="31.2" hidden="1">
      <c r="A169" s="8" t="s">
        <v>29</v>
      </c>
      <c r="B169" s="123" t="s">
        <v>86</v>
      </c>
      <c r="C169" s="9"/>
      <c r="D169" s="10"/>
      <c r="E169" s="10"/>
      <c r="F169" s="10"/>
      <c r="G169" s="10"/>
      <c r="H169" s="10"/>
      <c r="I169" s="53" t="str">
        <f t="shared" si="52"/>
        <v/>
      </c>
      <c r="J169" s="10"/>
      <c r="K169" s="53" t="str">
        <f t="shared" si="53"/>
        <v/>
      </c>
      <c r="L169" s="3"/>
      <c r="N169" s="228" t="str">
        <f t="shared" si="54"/>
        <v/>
      </c>
    </row>
    <row r="170" spans="1:14" ht="22.5" hidden="1" customHeight="1">
      <c r="A170" s="8">
        <v>1</v>
      </c>
      <c r="B170" s="44" t="s">
        <v>87</v>
      </c>
      <c r="C170" s="9"/>
      <c r="D170" s="10"/>
      <c r="E170" s="10"/>
      <c r="F170" s="10"/>
      <c r="G170" s="10"/>
      <c r="H170" s="10"/>
      <c r="I170" s="53" t="str">
        <f t="shared" si="52"/>
        <v/>
      </c>
      <c r="J170" s="10"/>
      <c r="K170" s="53" t="str">
        <f t="shared" si="53"/>
        <v/>
      </c>
      <c r="L170" s="3"/>
      <c r="N170" s="228" t="str">
        <f t="shared" si="54"/>
        <v/>
      </c>
    </row>
    <row r="171" spans="1:14" ht="22.5" hidden="1" customHeight="1">
      <c r="A171" s="16"/>
      <c r="B171" s="38" t="s">
        <v>88</v>
      </c>
      <c r="C171" s="18" t="s">
        <v>3</v>
      </c>
      <c r="D171" s="49">
        <v>1560</v>
      </c>
      <c r="E171" s="49">
        <v>1560</v>
      </c>
      <c r="F171" s="49">
        <f>E171</f>
        <v>1560</v>
      </c>
      <c r="G171" s="49">
        <f>F171/12*8</f>
        <v>1040</v>
      </c>
      <c r="H171" s="49">
        <f>F171</f>
        <v>1560</v>
      </c>
      <c r="I171" s="48">
        <f t="shared" si="52"/>
        <v>100</v>
      </c>
      <c r="J171" s="49">
        <f>H171</f>
        <v>1560</v>
      </c>
      <c r="K171" s="48">
        <f t="shared" si="53"/>
        <v>100</v>
      </c>
      <c r="L171" s="3"/>
      <c r="N171" s="228">
        <f t="shared" si="54"/>
        <v>100</v>
      </c>
    </row>
    <row r="172" spans="1:14" ht="22.5" hidden="1" customHeight="1">
      <c r="A172" s="16"/>
      <c r="B172" s="38" t="s">
        <v>89</v>
      </c>
      <c r="C172" s="18" t="s">
        <v>3</v>
      </c>
      <c r="D172" s="49">
        <v>21800</v>
      </c>
      <c r="E172" s="49">
        <v>21800</v>
      </c>
      <c r="F172" s="49">
        <f>E172</f>
        <v>21800</v>
      </c>
      <c r="G172" s="49">
        <f>F172/12*8</f>
        <v>14533.333333333334</v>
      </c>
      <c r="H172" s="49">
        <f>F172</f>
        <v>21800</v>
      </c>
      <c r="I172" s="48">
        <f t="shared" si="52"/>
        <v>100</v>
      </c>
      <c r="J172" s="49">
        <f>H172</f>
        <v>21800</v>
      </c>
      <c r="K172" s="48">
        <f t="shared" si="53"/>
        <v>100</v>
      </c>
      <c r="L172" s="3"/>
      <c r="M172" s="63"/>
      <c r="N172" s="228">
        <f t="shared" si="54"/>
        <v>100</v>
      </c>
    </row>
    <row r="173" spans="1:14" ht="22.5" hidden="1" customHeight="1">
      <c r="A173" s="8">
        <v>2</v>
      </c>
      <c r="B173" s="44" t="s">
        <v>90</v>
      </c>
      <c r="C173" s="18"/>
      <c r="D173" s="49"/>
      <c r="E173" s="49"/>
      <c r="F173" s="49"/>
      <c r="G173" s="49"/>
      <c r="H173" s="49"/>
      <c r="I173" s="53" t="str">
        <f t="shared" si="52"/>
        <v/>
      </c>
      <c r="J173" s="49"/>
      <c r="K173" s="53" t="str">
        <f t="shared" si="53"/>
        <v/>
      </c>
      <c r="L173" s="3"/>
      <c r="N173" s="228" t="str">
        <f t="shared" si="54"/>
        <v/>
      </c>
    </row>
    <row r="174" spans="1:14" ht="22.5" hidden="1" customHeight="1">
      <c r="A174" s="1"/>
      <c r="B174" s="38" t="s">
        <v>92</v>
      </c>
      <c r="C174" s="18" t="s">
        <v>93</v>
      </c>
      <c r="D174" s="49">
        <v>9233</v>
      </c>
      <c r="E174" s="49">
        <f>E113*E175%</f>
        <v>9781.42</v>
      </c>
      <c r="F174" s="49">
        <f t="shared" ref="F174:J174" si="62">F113*F175%</f>
        <v>10744.2</v>
      </c>
      <c r="G174" s="49">
        <f t="shared" si="62"/>
        <v>0</v>
      </c>
      <c r="H174" s="49">
        <f t="shared" si="62"/>
        <v>10744.2</v>
      </c>
      <c r="I174" s="48">
        <f t="shared" si="52"/>
        <v>109.84294713855454</v>
      </c>
      <c r="J174" s="49">
        <f t="shared" si="62"/>
        <v>11329.2</v>
      </c>
      <c r="K174" s="48">
        <f t="shared" si="53"/>
        <v>105.4447981236388</v>
      </c>
      <c r="L174" s="3"/>
      <c r="N174" s="228">
        <f t="shared" si="54"/>
        <v>100</v>
      </c>
    </row>
    <row r="175" spans="1:14" ht="22.5" hidden="1" customHeight="1">
      <c r="A175" s="1" t="s">
        <v>91</v>
      </c>
      <c r="B175" s="38" t="s">
        <v>94</v>
      </c>
      <c r="C175" s="33" t="s">
        <v>16</v>
      </c>
      <c r="D175" s="49">
        <v>85.6</v>
      </c>
      <c r="E175" s="48">
        <v>86.5</v>
      </c>
      <c r="F175" s="48">
        <v>90</v>
      </c>
      <c r="G175" s="48"/>
      <c r="H175" s="48">
        <f>F175</f>
        <v>90</v>
      </c>
      <c r="I175" s="48">
        <f t="shared" si="52"/>
        <v>104.04624277456648</v>
      </c>
      <c r="J175" s="48">
        <v>90</v>
      </c>
      <c r="K175" s="48">
        <f t="shared" si="53"/>
        <v>100</v>
      </c>
      <c r="L175" s="3"/>
      <c r="N175" s="228">
        <f t="shared" si="54"/>
        <v>100</v>
      </c>
    </row>
    <row r="176" spans="1:14" ht="22.5" hidden="1" customHeight="1">
      <c r="A176" s="1"/>
      <c r="B176" s="38" t="s">
        <v>96</v>
      </c>
      <c r="C176" s="18" t="s">
        <v>97</v>
      </c>
      <c r="D176" s="49">
        <v>58</v>
      </c>
      <c r="E176" s="48">
        <f>67*E177%</f>
        <v>57.954999999999998</v>
      </c>
      <c r="F176" s="48">
        <f t="shared" ref="F176:H176" si="63">67*F177%</f>
        <v>60.97</v>
      </c>
      <c r="G176" s="48">
        <f t="shared" si="63"/>
        <v>0</v>
      </c>
      <c r="H176" s="48">
        <f t="shared" si="63"/>
        <v>60.97</v>
      </c>
      <c r="I176" s="48">
        <f t="shared" si="52"/>
        <v>105.20231213872832</v>
      </c>
      <c r="J176" s="49">
        <v>61</v>
      </c>
      <c r="K176" s="48">
        <f t="shared" si="53"/>
        <v>100.04920452681647</v>
      </c>
      <c r="L176" s="3"/>
      <c r="N176" s="228">
        <f t="shared" si="54"/>
        <v>100</v>
      </c>
    </row>
    <row r="177" spans="1:14" ht="22.5" hidden="1" customHeight="1">
      <c r="A177" s="1" t="s">
        <v>95</v>
      </c>
      <c r="B177" s="38" t="s">
        <v>71</v>
      </c>
      <c r="C177" s="33" t="s">
        <v>16</v>
      </c>
      <c r="D177" s="49">
        <f>D176/67%</f>
        <v>86.567164179104466</v>
      </c>
      <c r="E177" s="48">
        <v>86.5</v>
      </c>
      <c r="F177" s="48">
        <v>91</v>
      </c>
      <c r="G177" s="48"/>
      <c r="H177" s="48">
        <v>91</v>
      </c>
      <c r="I177" s="48">
        <f t="shared" si="52"/>
        <v>105.20231213872833</v>
      </c>
      <c r="J177" s="48">
        <v>91</v>
      </c>
      <c r="K177" s="48">
        <f t="shared" si="53"/>
        <v>100</v>
      </c>
      <c r="L177" s="3"/>
      <c r="N177" s="228">
        <f t="shared" si="54"/>
        <v>100</v>
      </c>
    </row>
    <row r="178" spans="1:14" ht="22.5" hidden="1" customHeight="1">
      <c r="A178" s="1" t="s">
        <v>98</v>
      </c>
      <c r="B178" s="38" t="s">
        <v>99</v>
      </c>
      <c r="C178" s="18" t="s">
        <v>100</v>
      </c>
      <c r="D178" s="49">
        <v>88</v>
      </c>
      <c r="E178" s="49">
        <v>90</v>
      </c>
      <c r="F178" s="49">
        <v>90</v>
      </c>
      <c r="G178" s="49"/>
      <c r="H178" s="49">
        <f>F178</f>
        <v>90</v>
      </c>
      <c r="I178" s="48">
        <f t="shared" si="52"/>
        <v>100</v>
      </c>
      <c r="J178" s="49">
        <v>90</v>
      </c>
      <c r="K178" s="48">
        <f t="shared" si="53"/>
        <v>100</v>
      </c>
      <c r="L178" s="3"/>
      <c r="N178" s="228">
        <f t="shared" si="54"/>
        <v>100</v>
      </c>
    </row>
    <row r="179" spans="1:14" ht="22.5" hidden="1" customHeight="1">
      <c r="A179" s="1" t="s">
        <v>149</v>
      </c>
      <c r="B179" s="17" t="s">
        <v>151</v>
      </c>
      <c r="C179" s="1" t="s">
        <v>37</v>
      </c>
      <c r="D179" s="49">
        <v>4</v>
      </c>
      <c r="E179" s="49">
        <v>4</v>
      </c>
      <c r="F179" s="49">
        <v>4</v>
      </c>
      <c r="G179" s="49">
        <v>4</v>
      </c>
      <c r="H179" s="49">
        <v>4</v>
      </c>
      <c r="I179" s="48">
        <f t="shared" si="52"/>
        <v>100</v>
      </c>
      <c r="J179" s="49">
        <v>5</v>
      </c>
      <c r="K179" s="48">
        <f t="shared" si="53"/>
        <v>125</v>
      </c>
      <c r="L179" s="3"/>
      <c r="N179" s="228">
        <f t="shared" si="54"/>
        <v>100</v>
      </c>
    </row>
    <row r="180" spans="1:14">
      <c r="A180" s="4"/>
      <c r="B180" s="52"/>
      <c r="C180" s="4"/>
      <c r="D180" s="52"/>
      <c r="E180" s="52"/>
      <c r="F180" s="52"/>
      <c r="G180" s="52"/>
      <c r="H180" s="52"/>
      <c r="I180" s="52"/>
      <c r="J180" s="52"/>
      <c r="K180" s="52"/>
      <c r="L180" s="52"/>
      <c r="N180" s="79"/>
    </row>
  </sheetData>
  <mergeCells count="12">
    <mergeCell ref="K5:K6"/>
    <mergeCell ref="L5:L6"/>
    <mergeCell ref="A1:L1"/>
    <mergeCell ref="A2:L2"/>
    <mergeCell ref="A3:L3"/>
    <mergeCell ref="A5:A6"/>
    <mergeCell ref="B5:B6"/>
    <mergeCell ref="C5:C6"/>
    <mergeCell ref="D5:D6"/>
    <mergeCell ref="E5:E6"/>
    <mergeCell ref="F5:I5"/>
    <mergeCell ref="J5:J6"/>
  </mergeCells>
  <pageMargins left="0.47244094488188981" right="0.39370078740157483" top="0.59055118110236227" bottom="0.47244094488188981" header="0.31496062992125984" footer="0.31496062992125984"/>
  <pageSetup paperSize="9" scale="91" fitToHeight="0" orientation="landscape" r:id="rId1"/>
  <headerFooter>
    <oddFooter>&amp;R&amp;"Times New Roman,Regular"&amp;P/&amp;N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HDND 2023</vt:lpstr>
      <vt:lpstr>PL1</vt:lpstr>
      <vt:lpstr>PL2</vt:lpstr>
      <vt:lpstr>PL3</vt:lpstr>
      <vt:lpstr>PL4</vt:lpstr>
      <vt:lpstr>2018. PL04</vt:lpstr>
      <vt:lpstr>KH2019. 1. KT</vt:lpstr>
      <vt:lpstr>KH2019. 2. CN NN DV</vt:lpstr>
      <vt:lpstr>KH2019. 2a.NLTS</vt:lpstr>
      <vt:lpstr>KH2019. 3. XH</vt:lpstr>
      <vt:lpstr>KH2019. 4. MT</vt:lpstr>
      <vt:lpstr>KH2019. 5. PTDN</vt:lpstr>
      <vt:lpstr>2018. QI</vt:lpstr>
      <vt:lpstr>2018. T4</vt:lpstr>
      <vt:lpstr>2018. T5</vt:lpstr>
      <vt:lpstr>2018. 6T</vt:lpstr>
      <vt:lpstr>2018. T7</vt:lpstr>
      <vt:lpstr>2018. T8</vt:lpstr>
      <vt:lpstr>2018. 9T</vt:lpstr>
      <vt:lpstr>2018. T10</vt:lpstr>
      <vt:lpstr>'HDND 2023'!Print_Area</vt:lpstr>
      <vt:lpstr>'PL4'!Print_Area</vt:lpstr>
      <vt:lpstr>'2018. 6T'!Print_Titles</vt:lpstr>
      <vt:lpstr>'2018. 9T'!Print_Titles</vt:lpstr>
      <vt:lpstr>'2018. PL04'!Print_Titles</vt:lpstr>
      <vt:lpstr>'2018. QI'!Print_Titles</vt:lpstr>
      <vt:lpstr>'2018. T10'!Print_Titles</vt:lpstr>
      <vt:lpstr>'2018. T4'!Print_Titles</vt:lpstr>
      <vt:lpstr>'2018. T5'!Print_Titles</vt:lpstr>
      <vt:lpstr>'2018. T7'!Print_Titles</vt:lpstr>
      <vt:lpstr>'2018. T8'!Print_Titles</vt:lpstr>
      <vt:lpstr>'HDND 2023'!Print_Titles</vt:lpstr>
      <vt:lpstr>'KH2019. 2. CN NN DV'!Print_Titles</vt:lpstr>
      <vt:lpstr>'KH2019. 2a.NLTS'!Print_Titles</vt:lpstr>
      <vt:lpstr>'KH2019. 3. XH'!Print_Titles</vt:lpstr>
      <vt:lpstr>'PL1'!Print_Titles</vt:lpstr>
      <vt:lpstr>'PL2'!Print_Titles</vt:lpstr>
      <vt:lpstr>'PL4'!Print_Titles</vt:lpstr>
    </vt:vector>
  </TitlesOfParts>
  <Company>DPI KONTUM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 HOP</dc:creator>
  <cp:lastModifiedBy>Windows User</cp:lastModifiedBy>
  <cp:lastPrinted>2023-12-13T01:55:05Z</cp:lastPrinted>
  <dcterms:created xsi:type="dcterms:W3CDTF">1999-07-29T07:42:27Z</dcterms:created>
  <dcterms:modified xsi:type="dcterms:W3CDTF">2023-12-13T11:24:59Z</dcterms:modified>
</cp:coreProperties>
</file>